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7"/>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4" i="18" l="1"/>
  <c r="H10" i="60"/>
  <c r="H12" i="60"/>
  <c r="O34" i="18" l="1"/>
  <c r="B159" i="60" l="1"/>
  <c r="C158" i="60"/>
  <c r="C157" i="60"/>
  <c r="C156" i="60"/>
  <c r="C159" i="60"/>
  <c r="T22" i="63" l="1"/>
  <c r="P34" i="63"/>
  <c r="N19" i="60" l="1"/>
  <c r="N18" i="60"/>
  <c r="N17" i="60"/>
  <c r="N16" i="60"/>
  <c r="F38" i="60"/>
  <c r="I29" i="63" l="1"/>
  <c r="H14" i="60"/>
  <c r="U22" i="63"/>
  <c r="R16" i="63" l="1"/>
  <c r="H25" i="60" l="1"/>
  <c r="F12" i="60"/>
  <c r="J19" i="60" l="1"/>
  <c r="J18" i="60"/>
  <c r="J17" i="60"/>
  <c r="J16" i="60"/>
  <c r="D19" i="60"/>
  <c r="D38" i="60"/>
  <c r="F19" i="60"/>
  <c r="F33" i="60"/>
  <c r="F34" i="60"/>
  <c r="F35" i="60"/>
  <c r="F36" i="60"/>
  <c r="F37" i="60"/>
  <c r="D33" i="60"/>
  <c r="D34" i="60"/>
  <c r="D35" i="60"/>
  <c r="D36" i="60"/>
  <c r="D37" i="60"/>
  <c r="D32" i="60"/>
  <c r="F32" i="60"/>
  <c r="F40" i="60" s="1"/>
  <c r="D40" i="60" l="1"/>
  <c r="R17" i="63"/>
  <c r="R7" i="60" l="1"/>
  <c r="R9" i="60"/>
  <c r="R10" i="60"/>
  <c r="R11" i="60"/>
  <c r="R12" i="60"/>
  <c r="R13" i="60"/>
  <c r="R14" i="60"/>
  <c r="L41" i="18"/>
  <c r="R148" i="60" l="1"/>
  <c r="D17" i="60"/>
  <c r="D18" i="60"/>
  <c r="D16" i="60"/>
  <c r="F17" i="60"/>
  <c r="F18" i="60"/>
  <c r="F16" i="60"/>
  <c r="R147" i="60" l="1"/>
  <c r="W493" i="18"/>
  <c r="W492" i="18"/>
  <c r="R146" i="60" l="1"/>
  <c r="S147" i="60"/>
  <c r="R145" i="60" l="1"/>
  <c r="S146" i="60"/>
  <c r="I34" i="63"/>
  <c r="J34" i="63" s="1"/>
  <c r="R144" i="60" l="1"/>
  <c r="S145" i="60"/>
  <c r="I32" i="63"/>
  <c r="H29" i="63"/>
  <c r="J29" i="63" s="1"/>
  <c r="G29" i="63"/>
  <c r="R143" i="60" l="1"/>
  <c r="S144" i="60"/>
  <c r="K29"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49" i="63"/>
  <c r="D50" i="63"/>
  <c r="D48" i="63"/>
  <c r="K34" i="63"/>
  <c r="R140" i="60" l="1"/>
  <c r="S141" i="60"/>
  <c r="D59" i="63"/>
  <c r="B63" i="63" s="1"/>
  <c r="J32" i="63"/>
  <c r="I33" i="63"/>
  <c r="J33" i="63" s="1"/>
  <c r="K33"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J28" i="63" l="1"/>
  <c r="K28" i="63" s="1"/>
  <c r="R134" i="60"/>
  <c r="S135" i="60"/>
  <c r="W486" i="18"/>
  <c r="R133" i="60" l="1"/>
  <c r="S134" i="60"/>
  <c r="I27" i="63"/>
  <c r="I26" i="63"/>
  <c r="H27" i="63"/>
  <c r="N28" i="63" s="1"/>
  <c r="H26" i="63"/>
  <c r="I40" i="63"/>
  <c r="I41" i="63"/>
  <c r="I42" i="63"/>
  <c r="I43" i="63"/>
  <c r="I39"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0" i="63"/>
  <c r="J30" i="63" s="1"/>
  <c r="K30" i="63" s="1"/>
  <c r="G30"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39" i="63"/>
  <c r="H39" i="63"/>
  <c r="J39" i="63" s="1"/>
  <c r="K39"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1" i="63"/>
  <c r="H41" i="63"/>
  <c r="J41" i="63" s="1"/>
  <c r="K41" i="63" s="1"/>
  <c r="G42" i="63"/>
  <c r="H42" i="63"/>
  <c r="J42" i="63" s="1"/>
  <c r="G43" i="63"/>
  <c r="H43" i="63"/>
  <c r="J43" i="63" s="1"/>
  <c r="K43" i="63" s="1"/>
  <c r="G40" i="63"/>
  <c r="H40" i="63"/>
  <c r="J40" i="63" s="1"/>
  <c r="K40" i="63" s="1"/>
  <c r="W451" i="18"/>
  <c r="R83" i="60" l="1"/>
  <c r="S84" i="60"/>
  <c r="K42" i="63"/>
  <c r="Q11" i="63"/>
  <c r="N43" i="63"/>
  <c r="N41" i="63"/>
  <c r="N42" i="63"/>
  <c r="N40"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95" i="18"/>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S143" i="18"/>
  <c r="W142" i="18" l="1"/>
  <c r="S144" i="18"/>
  <c r="S145" i="18" s="1"/>
  <c r="V143" i="18"/>
  <c r="V144" i="18" l="1"/>
  <c r="W143" i="18"/>
  <c r="X143" i="18"/>
  <c r="W144" i="18"/>
  <c r="X144" i="18"/>
  <c r="V145" i="18" l="1"/>
  <c r="X145" i="18" s="1"/>
  <c r="S146" i="18"/>
  <c r="S147" i="18" s="1"/>
  <c r="W145" i="18" l="1"/>
  <c r="V146" i="18"/>
  <c r="S148" i="18" l="1"/>
  <c r="S149" i="18" s="1"/>
  <c r="X146" i="18"/>
  <c r="W146" i="18"/>
  <c r="V149" i="18" l="1"/>
  <c r="W149" i="18" s="1"/>
  <c r="S150" i="18"/>
  <c r="V147" i="18"/>
  <c r="V148" i="18"/>
  <c r="X149" i="18" l="1"/>
  <c r="S151" i="18"/>
  <c r="V150" i="18"/>
  <c r="W148" i="18"/>
  <c r="X148" i="18"/>
  <c r="W147" i="18"/>
  <c r="X147" i="18"/>
  <c r="W150" i="18" l="1"/>
  <c r="X150" i="18"/>
</calcChain>
</file>

<file path=xl/sharedStrings.xml><?xml version="1.0" encoding="utf-8"?>
<sst xmlns="http://schemas.openxmlformats.org/spreadsheetml/2006/main" count="15694" uniqueCount="6573">
  <si>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</si>
  <si>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</si>
  <si>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</si>
  <si>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</si>
  <si>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</si>
  <si>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</si>
  <si>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</si>
  <si>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</si>
  <si>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</si>
  <si>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</si>
  <si>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</si>
  <si>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</si>
  <si>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</si>
  <si>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</si>
  <si>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</si>
  <si>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</si>
  <si>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</si>
  <si>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</si>
  <si>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</si>
  <si>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</si>
  <si>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</si>
  <si>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</si>
  <si>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</si>
  <si>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</si>
  <si>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</si>
  <si>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</si>
  <si>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</si>
  <si>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</si>
  <si>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</si>
  <si>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</si>
  <si>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</si>
  <si>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</si>
  <si>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</si>
  <si>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</si>
  <si>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</si>
  <si>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</si>
  <si>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</si>
  <si>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</si>
  <si>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</si>
  <si>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</si>
  <si>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</si>
  <si>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</si>
  <si>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</si>
  <si>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</si>
  <si>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</si>
  <si>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</si>
  <si>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</si>
  <si>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</si>
  <si>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</si>
  <si>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</si>
  <si>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</si>
  <si>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</si>
  <si>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</si>
  <si>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</si>
  <si>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</si>
  <si>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</si>
  <si>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</si>
  <si>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</si>
  <si>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</si>
  <si>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</si>
  <si>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</si>
  <si>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</si>
  <si>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</si>
  <si>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</si>
  <si>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</si>
  <si>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</si>
  <si>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</si>
  <si>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</si>
  <si>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</si>
  <si>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</si>
  <si>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</si>
  <si>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</si>
  <si>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</si>
  <si>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</si>
  <si>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</si>
  <si>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</si>
  <si>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</si>
  <si>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</si>
  <si>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</si>
  <si>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</si>
  <si>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</si>
  <si>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</si>
  <si>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</si>
  <si>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</si>
  <si>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</si>
  <si>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</si>
  <si>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</si>
  <si>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</si>
  <si>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</si>
  <si>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</si>
  <si>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</si>
  <si>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</si>
  <si>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</si>
  <si>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</si>
  <si>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</si>
  <si>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</si>
  <si>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</si>
  <si>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</si>
  <si>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</si>
  <si>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</si>
  <si>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</si>
  <si>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</si>
  <si>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</si>
  <si>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</si>
  <si>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</si>
  <si>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</si>
  <si>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</si>
  <si>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</si>
  <si>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</si>
  <si>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</si>
  <si>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</si>
  <si>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</si>
  <si>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</si>
  <si>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</si>
  <si>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</si>
  <si>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</si>
  <si>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</si>
  <si>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</si>
  <si>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</si>
  <si>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</si>
  <si>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</si>
  <si>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</si>
  <si>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</si>
  <si>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</si>
  <si>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</si>
  <si>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</si>
  <si>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</si>
  <si>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</si>
  <si>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</si>
  <si>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</si>
  <si>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</si>
  <si>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</si>
  <si>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</si>
  <si>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</si>
  <si>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</si>
  <si>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</si>
  <si>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</si>
  <si>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</si>
  <si>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</si>
  <si>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</si>
  <si>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</si>
  <si>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</si>
  <si>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</si>
  <si>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</si>
  <si>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</si>
  <si>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</si>
  <si>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</si>
  <si>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</si>
  <si>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</si>
  <si>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</si>
  <si>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</si>
  <si>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</si>
  <si>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</si>
  <si>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</si>
  <si>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</si>
  <si>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</si>
  <si>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</si>
  <si>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</si>
  <si>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</si>
  <si>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</si>
  <si>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</si>
  <si>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</si>
  <si>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</si>
  <si>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</si>
  <si>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</si>
  <si>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</si>
  <si>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</si>
  <si>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</si>
  <si>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</si>
  <si>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</si>
  <si>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</si>
  <si>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</si>
  <si>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</si>
  <si>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</si>
  <si>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</si>
  <si>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</si>
  <si>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</si>
  <si>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</si>
  <si>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</si>
  <si>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</si>
  <si>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</si>
  <si>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</si>
  <si>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</si>
  <si>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</si>
  <si>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</si>
  <si>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</si>
  <si>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</si>
  <si>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</si>
  <si>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</si>
  <si>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</si>
  <si>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</si>
  <si>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</si>
  <si>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</si>
  <si>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</si>
  <si>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</si>
  <si>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</si>
  <si>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</si>
  <si>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</si>
  <si>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</si>
  <si>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</si>
  <si>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</si>
  <si>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</si>
  <si>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</si>
  <si>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</si>
  <si>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</si>
  <si>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</si>
  <si>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</si>
  <si>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</si>
  <si>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</si>
  <si>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</si>
  <si>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</si>
  <si>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</si>
  <si>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</si>
  <si>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</si>
  <si>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</si>
  <si>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</si>
  <si>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</si>
  <si>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</si>
  <si>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</si>
  <si>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</si>
  <si>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</si>
  <si>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</si>
  <si>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</si>
  <si>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</si>
  <si>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</si>
  <si>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</si>
  <si>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</si>
  <si>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</si>
  <si>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</si>
  <si>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</si>
  <si>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</si>
  <si>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</si>
  <si>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</si>
  <si>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</si>
  <si>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</si>
  <si>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</si>
  <si>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</si>
  <si>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</si>
  <si>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</si>
  <si>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</si>
  <si>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</si>
  <si>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</si>
  <si>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</si>
  <si>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</si>
  <si>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</si>
  <si>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</si>
  <si>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</si>
  <si>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</si>
  <si>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</si>
  <si>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</si>
  <si>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</si>
  <si>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</si>
  <si>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</si>
  <si>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</si>
  <si>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</si>
  <si>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</si>
  <si>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</si>
  <si>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</si>
  <si>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</si>
  <si>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</si>
  <si>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</si>
  <si>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</si>
  <si>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</si>
  <si>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</si>
  <si>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</si>
  <si>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</si>
  <si>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</si>
  <si>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</si>
  <si>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</si>
  <si>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</si>
  <si>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</si>
  <si>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</si>
  <si>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</si>
  <si>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</si>
  <si>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</si>
  <si>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</si>
  <si>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</si>
  <si>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</si>
  <si>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</si>
  <si>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</si>
  <si>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</si>
  <si>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</si>
  <si>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</si>
  <si>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</si>
  <si>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</si>
  <si>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</si>
  <si>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</si>
  <si>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</si>
  <si>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</si>
  <si>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</si>
  <si>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</si>
  <si>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</si>
  <si>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</si>
  <si>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</si>
  <si>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</si>
  <si>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</si>
  <si>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</si>
  <si>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</si>
  <si>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</si>
  <si>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</si>
  <si>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</si>
  <si>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</si>
  <si>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</si>
  <si>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</si>
  <si>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</si>
  <si>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</si>
  <si>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</si>
  <si>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</si>
  <si>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</si>
  <si>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</si>
  <si>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</si>
  <si>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</si>
  <si>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</si>
  <si>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</si>
  <si>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</si>
  <si>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</si>
  <si>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</si>
  <si>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</si>
  <si>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</si>
  <si>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</si>
  <si>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</si>
  <si>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</si>
  <si>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</si>
  <si>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</si>
  <si>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</si>
  <si>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</si>
  <si>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</si>
  <si>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</si>
  <si>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</si>
  <si>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</si>
  <si>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</si>
  <si>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</si>
  <si>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</si>
  <si>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</si>
  <si>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</si>
  <si>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</si>
  <si>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</si>
  <si>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</si>
  <si>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</si>
  <si>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</si>
  <si>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</si>
  <si>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</si>
  <si>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</si>
  <si>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</si>
  <si>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</si>
  <si>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</si>
  <si>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</si>
  <si>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</si>
  <si>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</si>
  <si>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</si>
  <si>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</si>
  <si>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</si>
  <si>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</si>
  <si>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</si>
  <si>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</si>
  <si>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</si>
  <si>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</si>
  <si>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</si>
  <si>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</si>
  <si>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</si>
  <si>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</si>
  <si>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</si>
  <si>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</si>
  <si>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</si>
  <si>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</si>
  <si>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</si>
  <si>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</si>
  <si>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</si>
  <si>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</si>
  <si>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</si>
  <si>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</si>
  <si>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</si>
  <si>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</si>
  <si>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</si>
  <si>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</si>
  <si>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</si>
  <si>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</si>
  <si>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</si>
  <si>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</si>
  <si>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</si>
  <si>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</si>
  <si>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</si>
  <si>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</si>
  <si>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</si>
  <si>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</si>
  <si>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</si>
  <si>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</si>
  <si>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</si>
  <si>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</si>
  <si>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</si>
  <si>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</si>
  <si>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</si>
  <si>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</si>
  <si>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</si>
  <si>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</si>
  <si>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</si>
  <si>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</si>
  <si>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</si>
  <si>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</si>
  <si>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</si>
  <si>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</si>
  <si>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</si>
  <si>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</si>
  <si>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</si>
  <si>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</si>
  <si>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</si>
  <si>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</si>
  <si>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</si>
  <si>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</si>
  <si>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</si>
  <si>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</si>
  <si>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</si>
  <si>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</si>
  <si>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</si>
  <si>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</si>
  <si>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</si>
  <si>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</si>
  <si>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</si>
  <si>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</si>
  <si>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</si>
  <si>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</si>
  <si>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</si>
  <si>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</si>
  <si>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</si>
  <si>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</si>
  <si>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</si>
  <si>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</si>
  <si>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</si>
  <si>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</si>
  <si>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</si>
  <si>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</si>
  <si>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</si>
  <si>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</si>
  <si>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</si>
  <si>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</si>
  <si>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</si>
  <si>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</si>
  <si>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</si>
  <si>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</si>
  <si>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</si>
  <si>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</si>
  <si>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</si>
  <si>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</si>
  <si>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</si>
  <si>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</si>
  <si>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</si>
  <si>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</si>
  <si>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</si>
  <si>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</si>
  <si>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</si>
  <si>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</si>
  <si>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</si>
  <si>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</si>
  <si>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</si>
  <si>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</si>
  <si>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</si>
  <si>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</si>
  <si>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</si>
  <si>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</si>
  <si>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</si>
  <si>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</si>
  <si>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</si>
  <si>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</si>
  <si>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</si>
  <si>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</si>
  <si>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</si>
  <si>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</si>
  <si>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</si>
  <si>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</si>
  <si>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</si>
  <si>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</si>
  <si>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</si>
  <si>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</si>
  <si>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</si>
  <si>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</si>
  <si>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</si>
  <si>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</si>
  <si>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</si>
  <si>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</si>
  <si>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</si>
  <si>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</si>
  <si>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</si>
  <si>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</si>
  <si>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</si>
  <si>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</si>
  <si>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</si>
  <si>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</si>
  <si>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</si>
  <si>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</si>
  <si>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</si>
  <si>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</si>
  <si>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</si>
  <si>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</si>
  <si>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</si>
  <si>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</si>
  <si>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</si>
  <si>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</si>
  <si>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</si>
  <si>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</si>
  <si>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</si>
  <si>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</si>
  <si>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</si>
  <si>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</si>
  <si>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</si>
  <si>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</si>
  <si>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</si>
  <si>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</si>
  <si>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</si>
  <si>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</si>
  <si>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</si>
  <si>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</si>
  <si>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</si>
  <si>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</si>
  <si>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</si>
  <si>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</si>
  <si>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</si>
  <si>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</si>
  <si>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</si>
  <si>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</si>
  <si>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</si>
  <si>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</si>
  <si>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</si>
  <si>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</si>
  <si>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</si>
  <si>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</si>
  <si>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</si>
  <si>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</si>
  <si>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</si>
  <si>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</si>
  <si>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</si>
  <si>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</si>
  <si>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</si>
  <si>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</si>
  <si>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</si>
  <si>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</si>
  <si>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</si>
  <si>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</si>
  <si>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</si>
  <si>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</si>
  <si>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</si>
  <si>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</si>
  <si>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</si>
  <si>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</si>
  <si>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</si>
  <si>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</si>
  <si>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</si>
  <si>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</si>
  <si>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</si>
  <si>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</si>
  <si>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</si>
  <si>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</si>
  <si>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</si>
  <si>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</si>
  <si>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</si>
  <si>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</si>
  <si>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</si>
  <si>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</si>
  <si>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</si>
  <si>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</si>
  <si>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</si>
  <si>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</si>
  <si>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</si>
  <si>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</si>
  <si>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</si>
  <si>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</si>
  <si>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</si>
  <si>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</si>
  <si>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</si>
  <si>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</si>
  <si>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</si>
  <si>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</si>
  <si>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</si>
  <si>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</si>
  <si>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</si>
  <si>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</si>
  <si>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</si>
  <si>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</si>
  <si>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</si>
  <si>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</si>
  <si>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</si>
  <si>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</si>
  <si>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</si>
  <si>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</si>
  <si>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</si>
  <si>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</si>
  <si>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</si>
  <si>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</si>
  <si>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</si>
  <si>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</si>
  <si>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</si>
  <si>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</si>
  <si>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</si>
  <si>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</si>
  <si>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</si>
  <si>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</si>
  <si>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</si>
  <si>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</si>
  <si>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</si>
  <si>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</si>
  <si>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</si>
  <si>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</si>
  <si>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</si>
  <si>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</si>
  <si>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</si>
  <si>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</si>
  <si>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</si>
  <si>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</si>
  <si>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</si>
  <si>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</si>
  <si>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</si>
  <si>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</si>
  <si>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</si>
  <si>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</si>
  <si>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</si>
  <si>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</si>
  <si>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</si>
  <si>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</si>
  <si>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</si>
  <si>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</si>
  <si>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</si>
  <si>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</si>
  <si>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</si>
  <si>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</si>
  <si>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</si>
  <si>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</si>
  <si>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</si>
  <si>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</si>
  <si>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</si>
  <si>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</si>
  <si>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</si>
  <si>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</si>
  <si>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</si>
  <si>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</si>
  <si>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</si>
  <si>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</si>
  <si>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</si>
  <si>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</si>
  <si>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</si>
  <si>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</si>
  <si>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</si>
  <si>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</si>
  <si>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</si>
  <si>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</si>
  <si>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</si>
  <si>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</si>
  <si>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</si>
  <si>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</si>
  <si>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</si>
  <si>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</si>
  <si>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</si>
  <si>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</si>
  <si>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</si>
  <si>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</si>
  <si>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</si>
  <si>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</si>
  <si>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</si>
  <si>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</si>
  <si>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</si>
  <si>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</si>
  <si>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</si>
  <si>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</si>
  <si>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</si>
  <si>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</si>
  <si>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</si>
  <si>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</si>
  <si>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</si>
  <si>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</si>
  <si>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</si>
  <si>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</si>
  <si>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</si>
  <si>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</si>
  <si>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</si>
  <si>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</si>
  <si>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</si>
  <si>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</si>
  <si>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</si>
  <si>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</si>
  <si>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</si>
  <si>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</si>
  <si>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</si>
  <si>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</si>
  <si>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</si>
  <si>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</si>
  <si>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</si>
  <si>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</si>
  <si>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</si>
  <si>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</si>
  <si>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</si>
  <si>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</si>
  <si>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</si>
  <si>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</si>
  <si>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</si>
  <si>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</si>
  <si>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</si>
  <si>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</si>
  <si>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</si>
  <si>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</si>
  <si>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</si>
  <si>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</si>
  <si>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</si>
  <si>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</si>
  <si>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</si>
  <si>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</si>
  <si>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</si>
  <si>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</si>
  <si>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</si>
  <si>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</si>
  <si>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</si>
  <si>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</si>
  <si>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</si>
  <si>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</si>
  <si>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</si>
  <si>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</si>
  <si>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</si>
  <si>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</si>
  <si>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</si>
  <si>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</si>
  <si>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</si>
  <si>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</si>
  <si>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</si>
  <si>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</si>
  <si>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</si>
  <si>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</si>
  <si>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</si>
  <si>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</si>
  <si>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</si>
  <si>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</si>
  <si>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</si>
  <si>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</si>
  <si>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</si>
  <si>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</si>
  <si>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</si>
  <si>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</si>
  <si>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</si>
  <si>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</si>
  <si>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</si>
  <si>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</si>
  <si>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</si>
  <si>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</si>
  <si>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</si>
  <si>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</si>
  <si>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</si>
  <si>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</si>
  <si>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</si>
  <si>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</si>
  <si>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</si>
  <si>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</si>
  <si>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</si>
  <si>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</si>
  <si>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</si>
  <si>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</si>
  <si>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</si>
  <si>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</si>
  <si>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</si>
  <si>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</si>
  <si>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</si>
  <si>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</si>
  <si>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</si>
  <si>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</si>
  <si>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</si>
  <si>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</si>
  <si>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</si>
  <si>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</si>
  <si>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</si>
  <si>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</si>
  <si>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</si>
  <si>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</si>
  <si>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</si>
  <si>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</si>
  <si>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</si>
  <si>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</si>
  <si>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</si>
  <si>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</si>
  <si>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</si>
  <si>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</si>
  <si>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</si>
  <si>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</si>
  <si>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</si>
  <si>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</si>
  <si>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</si>
  <si>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</si>
  <si>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</si>
  <si>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</si>
  <si>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</si>
  <si>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</si>
  <si>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</si>
  <si>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</si>
  <si>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</si>
  <si>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</si>
  <si>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</si>
  <si>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</si>
  <si>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</si>
  <si>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</si>
  <si>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</si>
  <si>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</si>
  <si>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</si>
  <si>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</si>
  <si>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</si>
  <si>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</si>
  <si>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</si>
  <si>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</si>
  <si>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</si>
  <si>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</si>
  <si>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</si>
  <si>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</si>
  <si>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</si>
  <si>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</si>
  <si>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</si>
  <si>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</si>
  <si>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</si>
  <si>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</si>
  <si>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</si>
  <si>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</si>
  <si>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</si>
  <si>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</si>
  <si>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</si>
  <si>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</si>
  <si>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</si>
  <si>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</si>
  <si>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</si>
  <si>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</si>
  <si>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</si>
  <si>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</si>
  <si>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</si>
  <si>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</si>
  <si>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</si>
  <si>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</si>
  <si>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</si>
  <si>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</si>
  <si>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</si>
  <si>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</si>
  <si>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</si>
  <si>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</si>
  <si>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</si>
  <si>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</si>
  <si>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</si>
  <si>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</si>
  <si>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</si>
  <si>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</si>
  <si>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</si>
  <si>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</si>
  <si>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</si>
  <si>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</si>
  <si>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</si>
  <si>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</si>
  <si>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</si>
  <si>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</si>
  <si>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</si>
  <si>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</si>
  <si>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</si>
  <si>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</si>
  <si>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</si>
  <si>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</si>
  <si>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</si>
  <si>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</si>
  <si>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</si>
  <si>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</si>
  <si>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</si>
  <si>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</si>
  <si>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</si>
  <si>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</si>
  <si>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</si>
  <si>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</si>
  <si>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</si>
  <si>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</si>
  <si>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</si>
  <si>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</si>
  <si>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</si>
  <si>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</si>
  <si>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</si>
  <si>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</si>
  <si>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</si>
  <si>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</si>
  <si>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</si>
  <si>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</si>
  <si>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</si>
  <si>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</si>
  <si>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</si>
  <si>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</si>
  <si>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</si>
  <si>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</si>
  <si>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</si>
  <si>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</si>
  <si>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</si>
  <si>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</si>
  <si>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</si>
  <si>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</si>
  <si>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</si>
  <si>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</si>
  <si>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</si>
  <si>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</si>
  <si>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</si>
  <si>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</si>
  <si>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</si>
  <si>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</si>
  <si>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</si>
  <si>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</si>
  <si>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</si>
  <si>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</si>
  <si>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</si>
  <si>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</si>
  <si>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</si>
  <si>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</si>
  <si>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</si>
  <si>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</si>
  <si>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</si>
  <si>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</si>
  <si>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</si>
  <si>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</si>
  <si>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</si>
  <si>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</si>
  <si>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</si>
  <si>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</si>
  <si>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</si>
  <si>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</si>
  <si>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</si>
  <si>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</si>
  <si>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</si>
  <si>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</si>
  <si>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</si>
  <si>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</si>
  <si>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</si>
  <si>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</si>
  <si>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</si>
  <si>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</si>
  <si>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</si>
  <si>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</si>
  <si>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</si>
  <si>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</si>
  <si>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</si>
  <si>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</si>
  <si>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</si>
  <si>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</si>
  <si>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</si>
  <si>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</si>
  <si>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</si>
  <si>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</si>
  <si>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</si>
  <si>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</si>
  <si>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</si>
  <si>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</si>
  <si>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</si>
  <si>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</si>
  <si>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</si>
  <si>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</si>
  <si>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</si>
  <si>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</si>
  <si>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</si>
  <si>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</si>
  <si>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</si>
  <si>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</si>
  <si>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</si>
  <si>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</si>
  <si>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</si>
  <si>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</si>
  <si>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</si>
  <si>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</si>
  <si>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</si>
  <si>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</si>
  <si>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</si>
  <si>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</si>
  <si>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</si>
  <si>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</si>
  <si>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</si>
  <si>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</si>
  <si>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</si>
  <si>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</si>
  <si>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</si>
  <si>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</si>
  <si>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</si>
  <si>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</si>
  <si>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</si>
  <si>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</si>
  <si>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</si>
  <si>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</si>
  <si>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</si>
  <si>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</si>
  <si>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</si>
  <si>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</si>
  <si>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</si>
  <si>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</si>
  <si>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</si>
  <si>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</si>
  <si>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</si>
  <si>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</si>
  <si>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</si>
  <si>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</si>
  <si>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</si>
  <si>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</si>
  <si>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</si>
  <si>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</si>
  <si>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</si>
  <si>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</si>
  <si>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</si>
  <si>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</si>
  <si>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</si>
  <si>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</si>
  <si>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</si>
  <si>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</si>
  <si>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</si>
  <si>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</si>
  <si>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</si>
  <si>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</si>
  <si>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</si>
  <si>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</si>
  <si>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</si>
  <si>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</si>
  <si>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</si>
  <si>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</si>
  <si>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</si>
  <si>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</si>
  <si>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</si>
  <si>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</si>
  <si>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</si>
  <si>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</si>
  <si>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</si>
  <si>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</si>
  <si>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</si>
  <si>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</si>
  <si>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</si>
  <si>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</si>
  <si>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</si>
  <si>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</si>
  <si>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</si>
  <si>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</si>
  <si>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</si>
  <si>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</si>
  <si>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</si>
  <si>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</si>
  <si>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</si>
  <si>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</si>
  <si>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</si>
  <si>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</si>
  <si>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</si>
  <si>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</si>
  <si>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</si>
  <si>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</si>
  <si>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</si>
  <si>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</si>
  <si>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</si>
  <si>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</si>
  <si>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</si>
  <si>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</si>
  <si>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</si>
  <si>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</si>
  <si>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</si>
  <si>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</si>
  <si>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</si>
  <si>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</si>
  <si>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</si>
  <si>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</si>
  <si>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</si>
  <si>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</si>
  <si>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</si>
  <si>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</si>
  <si>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</si>
  <si>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</si>
  <si>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</si>
  <si>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</si>
  <si>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</si>
  <si>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</si>
  <si>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</si>
  <si>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</si>
  <si>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</si>
  <si>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</si>
  <si>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</si>
  <si>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</si>
  <si>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</si>
  <si>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</si>
  <si>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</si>
  <si>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</si>
  <si>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</si>
  <si>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</si>
  <si>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</si>
  <si>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</si>
  <si>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</si>
  <si>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</si>
  <si>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</si>
  <si>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</si>
  <si>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</si>
  <si>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</si>
  <si>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</si>
  <si>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</si>
  <si>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</si>
  <si>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</si>
  <si>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</si>
  <si>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</si>
  <si>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</si>
  <si>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</si>
  <si>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</si>
  <si>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</si>
  <si>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</si>
  <si>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</si>
  <si>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</si>
  <si>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</si>
  <si>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</si>
  <si>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</si>
  <si>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</si>
  <si>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</si>
  <si>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</si>
  <si>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</si>
  <si>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</si>
  <si>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</si>
  <si>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</si>
  <si>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</si>
  <si>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</si>
  <si>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</si>
  <si>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</si>
  <si>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</si>
  <si>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</si>
  <si>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</si>
  <si>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</si>
  <si>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</si>
  <si>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</si>
  <si>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</si>
  <si>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</si>
  <si>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</si>
  <si>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</si>
  <si>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</si>
  <si>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</si>
  <si>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</si>
  <si>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</si>
  <si>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</si>
  <si>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</si>
  <si>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</si>
  <si>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</si>
  <si>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</si>
  <si>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</si>
  <si>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</si>
  <si>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</si>
  <si>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</si>
  <si>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</si>
  <si>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</si>
  <si>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</si>
  <si>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</si>
  <si>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</si>
  <si>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</si>
  <si>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</si>
  <si>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</si>
  <si>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</si>
  <si>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</si>
  <si>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</si>
  <si>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</si>
  <si>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</si>
  <si>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</si>
  <si>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</si>
  <si>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</si>
  <si>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</si>
  <si>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</si>
  <si>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</si>
  <si>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</si>
  <si>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</si>
  <si>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</si>
  <si>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</si>
  <si>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</si>
  <si>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</si>
  <si>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</si>
  <si>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</si>
  <si>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</si>
  <si>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</si>
  <si>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</si>
  <si>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</si>
  <si>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</si>
  <si>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</si>
  <si>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</si>
  <si>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</si>
  <si>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</si>
  <si>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</si>
  <si>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</si>
  <si>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</si>
  <si>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</si>
  <si>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</si>
  <si>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</si>
  <si>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</si>
  <si>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</si>
  <si>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</si>
  <si>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</si>
  <si>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</si>
  <si>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</si>
  <si>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</si>
  <si>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</si>
  <si>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</si>
  <si>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</si>
  <si>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</si>
  <si>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</si>
  <si>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</si>
  <si>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</si>
  <si>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</si>
  <si>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</si>
  <si>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</si>
  <si>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</si>
  <si>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</si>
  <si>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</si>
  <si>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</si>
  <si>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</si>
  <si>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</si>
  <si>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</si>
  <si>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</si>
  <si>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</si>
  <si>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</si>
  <si>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</si>
  <si>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</si>
  <si>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</si>
  <si>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</si>
  <si>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</si>
  <si>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</si>
  <si>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</si>
  <si>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</si>
  <si>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</si>
  <si>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</si>
  <si>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</si>
  <si>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</si>
  <si>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</si>
  <si>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</si>
  <si>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</si>
  <si>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</si>
  <si>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</si>
  <si>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</si>
  <si>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</si>
  <si>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</si>
  <si>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</si>
  <si>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</si>
  <si>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</si>
  <si>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</si>
  <si>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</si>
  <si>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</si>
  <si>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</si>
  <si>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</si>
  <si>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</si>
  <si>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</si>
  <si>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</si>
  <si>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</si>
  <si>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</si>
  <si>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</si>
  <si>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</si>
  <si>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</si>
  <si>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</si>
  <si>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</si>
  <si>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</si>
  <si>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</si>
  <si>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</si>
  <si>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</si>
  <si>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</si>
  <si>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</si>
  <si>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</si>
  <si>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</si>
  <si>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</si>
  <si>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</si>
  <si>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</si>
  <si>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</si>
  <si>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</si>
  <si>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</si>
  <si>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</si>
  <si>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</si>
  <si>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</si>
  <si>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</si>
  <si>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</si>
  <si>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</si>
  <si>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</si>
  <si>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</si>
  <si>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</si>
  <si>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</si>
  <si>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</si>
  <si>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</si>
  <si>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</si>
  <si>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</si>
  <si>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</si>
  <si>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</si>
  <si>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</si>
  <si>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</si>
  <si>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</si>
  <si>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</si>
  <si>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</si>
  <si>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</si>
  <si>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</si>
  <si>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</si>
  <si>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</si>
  <si>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</si>
  <si>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</si>
  <si>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</si>
  <si>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</si>
  <si>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</si>
  <si>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</si>
  <si>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</si>
  <si>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</si>
  <si>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</si>
  <si>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</si>
  <si>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</si>
  <si>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</si>
  <si>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</si>
  <si>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</si>
  <si>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</si>
  <si>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</si>
  <si>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</si>
  <si>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</si>
  <si>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</si>
  <si>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</si>
  <si>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</si>
  <si>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</si>
  <si>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</si>
  <si>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</si>
  <si>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</si>
  <si>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</si>
  <si>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</si>
  <si>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</si>
  <si>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</si>
  <si>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</si>
  <si>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</si>
  <si>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</si>
  <si>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</si>
  <si>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</si>
  <si>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</si>
  <si>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</si>
  <si>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</si>
  <si>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</si>
  <si>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</si>
  <si>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</si>
  <si>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</si>
  <si>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</si>
  <si>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</si>
  <si>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</si>
  <si>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</si>
  <si>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</si>
  <si>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</si>
  <si>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</si>
  <si>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</si>
  <si>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</si>
  <si>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</si>
  <si>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</si>
  <si>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</si>
  <si>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</si>
  <si>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</si>
  <si>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</si>
  <si>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</si>
  <si>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</si>
  <si>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</si>
  <si>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</si>
  <si>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</si>
  <si>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</si>
  <si>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</si>
  <si>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</si>
  <si>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</si>
  <si>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</si>
  <si>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</si>
  <si>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</si>
  <si>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</si>
  <si>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</si>
  <si>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</si>
  <si>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</si>
  <si>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</si>
  <si>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</si>
  <si>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</si>
  <si>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</si>
  <si>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</si>
  <si>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</si>
  <si>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</si>
  <si>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</si>
  <si>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</si>
  <si>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</si>
  <si>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</si>
  <si>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</si>
  <si>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</si>
  <si>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</si>
  <si>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</si>
  <si>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</si>
  <si>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</si>
  <si>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</si>
  <si>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</si>
  <si>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</si>
  <si>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</si>
  <si>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</si>
  <si>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</si>
  <si>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</si>
  <si>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</si>
  <si>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</si>
  <si>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</si>
  <si>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</si>
  <si>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</si>
  <si>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</si>
  <si>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</si>
  <si>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</si>
  <si>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</si>
  <si>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</si>
  <si>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</si>
  <si>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</si>
  <si>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</si>
  <si>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</si>
  <si>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</si>
  <si>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</si>
  <si>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</si>
  <si>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</si>
  <si>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</si>
  <si>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</si>
  <si>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</si>
  <si>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</si>
  <si>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</si>
  <si>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</si>
  <si>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</si>
  <si>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</si>
  <si>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</si>
  <si>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</si>
  <si>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</si>
  <si>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</si>
  <si>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</si>
  <si>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</si>
  <si>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</si>
  <si>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</si>
  <si>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</si>
  <si>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</si>
  <si>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</si>
  <si>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</si>
  <si>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</si>
  <si>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</si>
  <si>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</si>
  <si>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</si>
  <si>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</si>
  <si>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</si>
  <si>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</si>
  <si>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</si>
  <si>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</si>
  <si>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</si>
  <si>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</si>
  <si>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</si>
  <si>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</si>
  <si>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</si>
  <si>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</si>
  <si>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</si>
  <si>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</si>
  <si>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</si>
  <si>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</si>
  <si>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</si>
  <si>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</si>
  <si>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</si>
  <si>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</si>
  <si>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</si>
  <si>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</si>
  <si>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</si>
  <si>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</si>
  <si>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</si>
  <si>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</si>
  <si>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</si>
  <si>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</si>
  <si>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</si>
  <si>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</si>
  <si>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</si>
  <si>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</si>
  <si>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</si>
  <si>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</si>
  <si>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</si>
  <si>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</si>
  <si>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</si>
  <si>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</si>
  <si>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</si>
  <si>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</si>
  <si>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</si>
  <si>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</si>
  <si>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</si>
  <si>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</si>
  <si>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</si>
  <si>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</si>
  <si>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</si>
  <si>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</si>
  <si>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</si>
  <si>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</si>
  <si>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</si>
  <si>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</si>
  <si>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</si>
  <si>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</si>
  <si>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</si>
  <si>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</si>
  <si>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</si>
  <si>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</si>
  <si>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</si>
  <si>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</si>
  <si>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</si>
  <si>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</si>
  <si>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</si>
  <si>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</si>
  <si>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</si>
  <si>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</si>
  <si>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</si>
  <si>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</si>
  <si>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</si>
  <si>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</si>
  <si>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</si>
  <si>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</si>
  <si>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</si>
  <si>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</si>
  <si>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</si>
  <si>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</si>
  <si>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</si>
  <si>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</si>
  <si>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</si>
  <si>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</si>
  <si>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</si>
  <si>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</si>
  <si>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</si>
  <si>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</si>
  <si>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</si>
  <si>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</si>
  <si>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</si>
  <si>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</si>
  <si>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</si>
  <si>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</si>
  <si>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</si>
  <si>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</si>
  <si>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</si>
  <si>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</si>
  <si>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</si>
  <si>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</si>
  <si>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</si>
  <si>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</si>
  <si>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</si>
  <si>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</si>
  <si>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</si>
  <si>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</si>
  <si>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</si>
  <si>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</si>
  <si>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</si>
  <si>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</si>
  <si>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</si>
  <si>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</si>
  <si>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</si>
  <si>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</si>
  <si>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</si>
  <si>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</si>
  <si>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</si>
  <si>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</si>
  <si>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</si>
  <si>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</si>
  <si>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</si>
  <si>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</si>
  <si>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</si>
  <si>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</si>
  <si>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</si>
  <si>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</si>
  <si>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</si>
  <si>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</si>
  <si>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</si>
  <si>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</si>
  <si>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</si>
  <si>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</si>
  <si>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</si>
  <si>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</si>
  <si>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</si>
  <si>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</si>
  <si>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</si>
  <si>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</si>
  <si>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</si>
  <si>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</si>
  <si>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</si>
  <si>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</si>
  <si>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</si>
  <si>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</si>
  <si>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</si>
  <si>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</si>
  <si>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</si>
  <si>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</si>
  <si>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</si>
  <si>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</si>
  <si>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</si>
  <si>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</si>
  <si>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</si>
  <si>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</si>
  <si>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</si>
  <si>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</si>
  <si>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</si>
  <si>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</si>
  <si>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</si>
  <si>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</si>
  <si>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</si>
  <si>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</si>
  <si>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</si>
  <si>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</si>
  <si>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</si>
  <si>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</si>
  <si>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</si>
  <si>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</si>
  <si>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</si>
  <si>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</si>
  <si>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</si>
  <si>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</si>
  <si>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</si>
  <si>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</si>
  <si>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</si>
  <si>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</si>
  <si>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</si>
  <si>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</si>
  <si>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</si>
  <si>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</si>
  <si>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</si>
  <si>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</si>
  <si>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</si>
  <si>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</si>
  <si>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</si>
  <si>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</si>
  <si>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</si>
  <si>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</si>
  <si>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</si>
  <si>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</si>
  <si>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</si>
  <si>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</si>
  <si>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</si>
  <si>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</si>
  <si>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</si>
  <si>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</si>
  <si>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</si>
  <si>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</si>
  <si>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</si>
  <si>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</si>
  <si>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</si>
  <si>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</si>
  <si>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</si>
  <si>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</si>
  <si>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</si>
  <si>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</si>
  <si>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</si>
  <si>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</si>
  <si>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</si>
  <si>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</si>
  <si>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</si>
  <si>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</si>
  <si>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</si>
  <si>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</si>
  <si>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</si>
  <si>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</si>
  <si>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</si>
  <si>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</si>
  <si>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</si>
  <si>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</si>
  <si>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</si>
  <si>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</si>
  <si>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</si>
  <si>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</si>
  <si>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</si>
  <si>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</si>
  <si>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</si>
  <si>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</si>
  <si>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</si>
  <si>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</si>
  <si>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</si>
  <si>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</si>
  <si>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</si>
  <si>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</si>
  <si>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</si>
  <si>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</si>
  <si>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</si>
  <si>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</si>
  <si>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</si>
  <si>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</si>
  <si>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</si>
  <si>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</si>
  <si>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</si>
  <si>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</si>
  <si>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</si>
  <si>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</si>
  <si>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</si>
  <si>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</si>
  <si>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</si>
  <si>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</si>
  <si>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</si>
  <si>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</si>
  <si>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</si>
  <si>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</si>
  <si>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</si>
  <si>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</si>
  <si>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</si>
  <si>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</si>
  <si>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</si>
  <si>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</si>
  <si>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</si>
  <si>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</si>
  <si>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</si>
  <si>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</si>
  <si>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</si>
  <si>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</si>
  <si>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</si>
  <si>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</si>
  <si>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</si>
  <si>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</si>
  <si>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</si>
  <si>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</si>
  <si>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</si>
  <si>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</si>
  <si>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</si>
  <si>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</si>
  <si>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</si>
  <si>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</si>
  <si>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</si>
  <si>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</si>
  <si>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</si>
  <si>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</si>
  <si>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</si>
  <si>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</si>
  <si>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</si>
  <si>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</si>
  <si>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</si>
  <si>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</si>
  <si>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</si>
  <si>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</si>
  <si>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</si>
  <si>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</si>
  <si>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</si>
  <si>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</si>
  <si>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</si>
  <si>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</si>
  <si>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</si>
  <si>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</si>
  <si>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</si>
  <si>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</si>
  <si>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</si>
  <si>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</si>
  <si>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</si>
  <si>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</si>
  <si>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</si>
  <si>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</si>
  <si>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</si>
  <si>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</si>
  <si>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</si>
  <si>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</si>
  <si>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</si>
  <si>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</si>
  <si>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</si>
  <si>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</si>
  <si>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</si>
  <si>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</si>
  <si>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</si>
  <si>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</si>
  <si>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</si>
  <si>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</si>
  <si>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</si>
  <si>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</si>
  <si>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</si>
  <si>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</si>
  <si>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</si>
  <si>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</si>
  <si>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</si>
  <si>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</si>
  <si>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</si>
  <si>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</si>
  <si>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</si>
  <si>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</si>
  <si>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</si>
  <si>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</si>
  <si>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</si>
  <si>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</si>
  <si>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</si>
  <si>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</si>
  <si>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</si>
  <si>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</si>
  <si>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</si>
  <si>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</si>
  <si>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</si>
  <si>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</si>
  <si>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</si>
  <si>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</si>
  <si>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</si>
  <si>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</si>
  <si>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</si>
  <si>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</si>
  <si>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</si>
  <si>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</si>
  <si>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</si>
  <si>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</si>
  <si>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</si>
  <si>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</si>
  <si>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</si>
  <si>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</si>
  <si>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</si>
  <si>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</si>
  <si>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</si>
  <si>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</si>
  <si>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</si>
  <si>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</si>
  <si>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</si>
  <si>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</si>
  <si>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</si>
  <si>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</si>
  <si>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</si>
  <si>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</si>
  <si>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</si>
  <si>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</si>
  <si>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</si>
  <si>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</si>
  <si>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</si>
  <si>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</si>
  <si>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</si>
  <si>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</si>
  <si>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</si>
  <si>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</si>
  <si>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</si>
  <si>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</si>
  <si>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</si>
  <si>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</si>
  <si>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</si>
  <si>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</si>
  <si>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</si>
  <si>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</si>
  <si>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</si>
  <si>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</si>
  <si>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</si>
  <si>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</si>
  <si>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</si>
  <si>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</si>
  <si>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</si>
  <si>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</si>
  <si>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</si>
  <si>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</si>
  <si>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</si>
  <si>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</si>
  <si>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</si>
  <si>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</si>
  <si>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</si>
  <si>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</si>
  <si>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</si>
  <si>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</si>
  <si>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</si>
  <si>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</si>
  <si>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</si>
  <si>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</si>
  <si>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</si>
  <si>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</si>
  <si>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</si>
  <si>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</si>
  <si>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</si>
  <si>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</si>
  <si>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</si>
  <si>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</si>
  <si>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</si>
  <si>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</si>
  <si>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</si>
  <si>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</si>
  <si>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</si>
  <si>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</si>
  <si>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</si>
  <si>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</si>
  <si>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</si>
  <si>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</si>
  <si>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</si>
  <si>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</si>
  <si>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</si>
  <si>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</si>
  <si>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</si>
  <si>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</si>
  <si>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</si>
  <si>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</si>
  <si>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</si>
  <si>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</si>
  <si>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</si>
  <si>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</si>
  <si>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</si>
  <si>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</si>
  <si>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</si>
  <si>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</si>
  <si>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</si>
  <si>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</si>
  <si>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</si>
  <si>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</si>
  <si>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</si>
  <si>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</si>
  <si>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</si>
  <si>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</si>
  <si>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</si>
  <si>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</si>
  <si>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</si>
  <si>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</si>
  <si>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</si>
  <si>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</si>
  <si>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</si>
  <si>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</si>
  <si>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</si>
  <si>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</si>
  <si>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</si>
  <si>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</si>
  <si>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</si>
  <si>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</si>
  <si>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</si>
  <si>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</si>
  <si>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</si>
  <si>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</si>
  <si>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</si>
  <si>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</si>
  <si>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</si>
  <si>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</si>
  <si>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</si>
  <si>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</si>
  <si>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</si>
  <si>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</si>
  <si>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</si>
  <si>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</si>
  <si>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</si>
  <si>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</si>
  <si>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</si>
  <si>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</si>
  <si>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</si>
  <si>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</si>
  <si>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</si>
  <si>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</si>
  <si>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</si>
  <si>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</si>
  <si>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</si>
  <si>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</si>
  <si>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</si>
  <si>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</si>
  <si>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</si>
  <si>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</si>
  <si>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</si>
  <si>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</si>
  <si>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</si>
  <si>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</si>
  <si>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</si>
  <si>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</si>
  <si>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</si>
  <si>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</si>
  <si>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</si>
  <si>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</si>
  <si>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</si>
  <si>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</si>
  <si>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</si>
  <si>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</si>
  <si>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</si>
  <si>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</si>
  <si>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</si>
  <si>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</si>
  <si>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</si>
  <si>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</si>
  <si>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</si>
  <si>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</si>
  <si>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</si>
  <si>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</si>
  <si>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</si>
  <si>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</si>
  <si>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</si>
  <si>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</si>
  <si>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</si>
  <si>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</si>
  <si>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</si>
  <si>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</si>
  <si>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</si>
  <si>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</si>
  <si>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</si>
  <si>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</si>
  <si>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</si>
  <si>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</si>
  <si>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</si>
  <si>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</si>
  <si>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</si>
  <si>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</si>
  <si>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</si>
  <si>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</si>
  <si>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</si>
  <si>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</si>
  <si>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</si>
  <si>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</si>
  <si>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</si>
  <si>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</si>
  <si>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</si>
  <si>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</si>
  <si>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</si>
  <si>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</si>
  <si>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</si>
  <si>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</si>
  <si>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</si>
  <si>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</si>
  <si>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</si>
  <si>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</si>
  <si>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</si>
  <si>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</si>
  <si>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</si>
  <si>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</si>
  <si>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</si>
  <si>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</si>
  <si>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</si>
  <si>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</si>
  <si>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</si>
  <si>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</si>
  <si>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</si>
  <si>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</si>
  <si>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</si>
  <si>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</si>
  <si>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</si>
  <si>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</si>
  <si>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</si>
  <si>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</si>
  <si>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</si>
  <si>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</si>
  <si>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</si>
  <si>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</si>
  <si>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</si>
  <si>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</si>
  <si>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</si>
  <si>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</si>
  <si>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</si>
  <si>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</si>
  <si>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</si>
  <si>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</si>
  <si>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</si>
  <si>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</si>
  <si>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</si>
  <si>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</si>
  <si>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</si>
  <si>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</si>
  <si>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</si>
  <si>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</si>
  <si>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</si>
  <si>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</si>
  <si>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</si>
  <si>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</si>
  <si>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</si>
  <si>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</si>
  <si>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</si>
  <si>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</si>
  <si>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</si>
  <si>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</si>
  <si>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</si>
  <si>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</si>
  <si>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</si>
  <si>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</si>
  <si>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</si>
  <si>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</si>
  <si>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</si>
  <si>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</si>
  <si>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</si>
  <si>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</si>
  <si>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</si>
  <si>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</si>
  <si>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</si>
  <si>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</si>
  <si>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</si>
  <si>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</si>
  <si>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</si>
  <si>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</si>
  <si>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</si>
  <si>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</si>
  <si>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</si>
  <si>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</si>
  <si>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</si>
  <si>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</si>
  <si>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</si>
  <si>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</si>
  <si>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</si>
  <si>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</si>
  <si>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</si>
  <si>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</si>
  <si>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</si>
  <si>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</si>
  <si>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</si>
  <si>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</si>
  <si>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</si>
  <si>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</si>
  <si>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</si>
  <si>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</si>
  <si>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</si>
  <si>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</si>
  <si>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</si>
  <si>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</si>
  <si>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</si>
  <si>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</si>
  <si>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</si>
  <si>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</si>
  <si>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</si>
  <si>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</si>
  <si>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</si>
  <si>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</si>
  <si>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</si>
  <si>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</si>
  <si>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</si>
  <si>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</si>
  <si>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</si>
  <si>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</si>
  <si>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</si>
  <si>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</si>
  <si>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</si>
  <si>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</si>
  <si>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</si>
  <si>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</si>
  <si>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</si>
  <si>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</si>
  <si>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</si>
  <si>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</si>
  <si>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</si>
  <si>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</si>
  <si>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</si>
  <si>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</si>
  <si>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</si>
  <si>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</si>
  <si>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</si>
  <si>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</si>
  <si>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</si>
  <si>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</si>
  <si>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</si>
  <si>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</si>
  <si>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</si>
  <si>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</si>
  <si>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</si>
  <si>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</si>
  <si>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</si>
  <si>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</si>
  <si>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</si>
  <si>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</si>
  <si>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</si>
  <si>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</si>
  <si>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</si>
  <si>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</si>
  <si>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</si>
  <si>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</si>
  <si>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</si>
  <si>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</si>
  <si>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</si>
  <si>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</si>
  <si>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</si>
  <si>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</si>
  <si>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</si>
  <si>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</si>
  <si>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</si>
  <si>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</si>
  <si>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</si>
  <si>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</si>
  <si>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</si>
  <si>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</si>
  <si>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</si>
  <si>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</si>
  <si>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</si>
  <si>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</si>
  <si>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</si>
  <si>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</si>
  <si>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</si>
  <si>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</si>
  <si>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</si>
  <si>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</si>
  <si>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</si>
  <si>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</si>
  <si>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</si>
  <si>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</si>
  <si>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</si>
  <si>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</si>
  <si>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</si>
  <si>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</si>
  <si>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</si>
  <si>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</si>
  <si>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</si>
  <si>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</si>
  <si>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</si>
  <si>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</si>
  <si>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</si>
  <si>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</si>
  <si>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</si>
  <si>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</si>
  <si>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</si>
  <si>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</si>
  <si>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</si>
  <si>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</si>
  <si>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</si>
  <si>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</si>
  <si>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</si>
  <si>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</si>
  <si>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</si>
  <si>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</si>
  <si>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</si>
  <si>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</si>
  <si>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</si>
  <si>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</si>
  <si>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</si>
  <si>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</si>
  <si>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</si>
  <si>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</si>
  <si>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</si>
  <si>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</si>
  <si>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</si>
  <si>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</si>
  <si>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</si>
  <si>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</si>
  <si>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</si>
  <si>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</si>
  <si>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</si>
  <si>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</si>
  <si>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</si>
  <si>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</si>
  <si>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</si>
  <si>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</si>
  <si>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</si>
  <si>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</si>
  <si>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</si>
  <si>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</si>
  <si>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</si>
  <si>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</si>
  <si>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</si>
  <si>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</si>
  <si>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</si>
  <si>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</si>
  <si>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</si>
  <si>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</si>
  <si>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</si>
  <si>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</si>
  <si>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</si>
  <si>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</si>
  <si>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</si>
  <si>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</si>
  <si>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</si>
  <si>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</si>
  <si>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</si>
  <si>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</si>
  <si>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</si>
  <si>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</si>
  <si>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</si>
  <si>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</si>
  <si>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</si>
  <si>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</si>
  <si>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</si>
  <si>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</si>
  <si>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</si>
  <si>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</si>
  <si>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</si>
  <si>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</si>
  <si>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</si>
  <si>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</si>
  <si>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</si>
  <si>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</si>
  <si>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</si>
  <si>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</si>
  <si>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</si>
  <si>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</si>
  <si>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</si>
  <si>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</si>
  <si>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</si>
  <si>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</si>
  <si>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</si>
  <si>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</si>
  <si>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</si>
  <si>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</si>
  <si>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</si>
  <si>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</si>
  <si>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</si>
  <si>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</si>
  <si>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</si>
  <si>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</si>
  <si>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</si>
  <si>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</si>
  <si>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</si>
  <si>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</si>
  <si>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</si>
  <si>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</si>
  <si>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</si>
  <si>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</si>
  <si>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</si>
  <si>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</si>
  <si>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</si>
  <si>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</si>
  <si>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</si>
  <si>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</si>
  <si>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</si>
  <si>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</si>
  <si>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</si>
  <si>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</si>
  <si>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</si>
  <si>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</si>
  <si>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</si>
  <si>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</si>
  <si>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</si>
  <si>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</si>
  <si>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</si>
  <si>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</si>
  <si>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</si>
  <si>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</si>
  <si>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</si>
  <si>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</si>
  <si>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</si>
  <si>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</si>
  <si>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</si>
  <si>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</si>
  <si>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</si>
  <si>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</si>
  <si>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</si>
  <si>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</si>
  <si>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</si>
  <si>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</si>
  <si>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</si>
  <si>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</si>
  <si>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</si>
  <si>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</si>
  <si>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</si>
  <si>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</si>
  <si>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</si>
  <si>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</si>
  <si>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</si>
  <si>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</si>
  <si>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</si>
  <si>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</si>
  <si>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</si>
  <si>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</si>
  <si>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</si>
  <si>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</si>
  <si>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</si>
  <si>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</si>
  <si>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</si>
  <si>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</si>
  <si>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</si>
  <si>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</si>
  <si>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</si>
  <si>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</si>
  <si>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</si>
  <si>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</si>
  <si>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</si>
  <si>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</si>
  <si>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</si>
  <si>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</si>
  <si>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</si>
  <si>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</si>
  <si>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</si>
  <si>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</si>
  <si>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</si>
  <si>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</si>
  <si>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</si>
  <si>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</si>
  <si>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</si>
  <si>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</si>
  <si>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</si>
  <si>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</si>
  <si>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</si>
  <si>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</si>
  <si>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</si>
  <si>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</si>
  <si>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</si>
  <si>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</si>
  <si>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</si>
  <si>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</si>
  <si>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</si>
  <si>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</si>
  <si>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</si>
  <si>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</si>
  <si>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</si>
  <si>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</si>
  <si>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</si>
  <si>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</si>
  <si>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</si>
  <si>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</si>
  <si>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</si>
  <si>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</si>
  <si>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</si>
  <si>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</si>
  <si>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</si>
  <si>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</si>
  <si>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</si>
  <si>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</si>
  <si>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</si>
  <si>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</si>
  <si>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</si>
  <si>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</si>
  <si>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</si>
  <si>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</si>
  <si>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</si>
  <si>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</si>
  <si>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</si>
  <si>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</si>
  <si>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</si>
  <si>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</si>
  <si>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</si>
  <si>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</si>
  <si>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</si>
  <si>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</si>
  <si>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</si>
  <si>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</si>
  <si>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</si>
  <si>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</si>
  <si>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</si>
  <si>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</si>
  <si>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</si>
  <si>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</si>
  <si>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</si>
  <si>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</si>
  <si>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</si>
  <si>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</si>
  <si>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</si>
  <si>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</si>
  <si>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</si>
  <si>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</si>
  <si>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</si>
  <si>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</si>
  <si>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</si>
  <si>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</si>
  <si>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</si>
  <si>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</si>
  <si>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</si>
  <si>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</si>
  <si>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</si>
  <si>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</si>
  <si>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</si>
  <si>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</si>
  <si>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</si>
  <si>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</si>
  <si>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</si>
  <si>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</si>
  <si>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</si>
  <si>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</si>
  <si>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</si>
  <si>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</si>
  <si>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</si>
  <si>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</si>
  <si>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</si>
  <si>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</si>
  <si>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</si>
  <si>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</si>
  <si>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</si>
  <si>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</si>
  <si>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</si>
  <si>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</si>
  <si>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</si>
  <si>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</si>
  <si>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</si>
  <si>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</si>
  <si>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</si>
  <si>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</si>
  <si>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</si>
  <si>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</si>
  <si>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</si>
  <si>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</si>
  <si>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</si>
  <si>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</si>
  <si>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</si>
  <si>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</si>
  <si>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</si>
  <si>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</si>
  <si>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</si>
  <si>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</si>
  <si>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</si>
  <si>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</si>
  <si>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</si>
  <si>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</si>
  <si>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</si>
  <si>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</si>
  <si>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</si>
  <si>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</si>
  <si>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</si>
  <si>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</si>
  <si>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</si>
  <si>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</si>
  <si>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</si>
  <si>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</si>
  <si>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</si>
  <si>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</si>
  <si>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</si>
  <si>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</si>
  <si>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</si>
  <si>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</si>
  <si>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</si>
  <si>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</si>
  <si>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</si>
  <si>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</si>
  <si>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</si>
  <si>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</si>
  <si>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</si>
  <si>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</si>
  <si>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</si>
  <si>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</si>
  <si>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</si>
  <si>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</si>
  <si>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</si>
  <si>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</si>
  <si>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</si>
  <si>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</si>
  <si>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</si>
  <si>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</si>
  <si>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</si>
  <si>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</si>
  <si>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</si>
  <si>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</si>
  <si>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</si>
  <si>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</si>
  <si>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</si>
  <si>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</si>
  <si>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</si>
  <si>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</si>
  <si>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</si>
  <si>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</si>
  <si>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</si>
  <si>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</si>
  <si>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</si>
  <si>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</si>
  <si>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</si>
  <si>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</si>
  <si>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</si>
  <si>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</si>
  <si>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</si>
  <si>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</si>
  <si>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</si>
  <si>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</si>
  <si>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</si>
  <si>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</si>
  <si>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</si>
  <si>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</si>
  <si>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</si>
  <si>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</si>
  <si>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</si>
  <si>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</si>
  <si>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</si>
  <si>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</si>
  <si>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</si>
  <si>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</si>
  <si>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</si>
  <si>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</si>
  <si>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</si>
  <si>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</si>
  <si>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</si>
  <si>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</si>
  <si>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</si>
  <si>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</si>
  <si>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</si>
  <si>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</si>
  <si>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</si>
  <si>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</si>
  <si>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</si>
  <si>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</si>
  <si>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</si>
  <si>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</si>
  <si>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</si>
  <si>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</si>
  <si>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</si>
  <si>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</si>
  <si>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</si>
  <si>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</si>
  <si>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</si>
  <si>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</si>
  <si>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</si>
  <si>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</si>
  <si>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</si>
  <si>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</si>
  <si>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</si>
  <si>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</si>
  <si>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</si>
  <si>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</si>
  <si>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</si>
  <si>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</si>
  <si>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</si>
  <si>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</si>
  <si>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</si>
  <si>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</si>
  <si>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</si>
  <si>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</si>
  <si>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</si>
  <si>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</si>
  <si>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</si>
  <si>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</si>
  <si>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</si>
  <si>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</si>
  <si>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</si>
  <si>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</si>
  <si>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</si>
  <si>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</si>
  <si>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</si>
  <si>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</si>
  <si>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</si>
  <si>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</si>
  <si>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</si>
  <si>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</si>
  <si>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</si>
  <si>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</si>
  <si>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</si>
  <si>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</si>
  <si>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</si>
  <si>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</si>
  <si>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</si>
  <si>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</si>
  <si>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</si>
  <si>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</si>
  <si>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</si>
  <si>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</si>
  <si>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</si>
  <si>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</si>
  <si>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</si>
  <si>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</si>
  <si>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</si>
  <si>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</si>
  <si>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</si>
  <si>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</si>
  <si>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</si>
  <si>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</si>
  <si>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</si>
  <si>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</si>
  <si>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</si>
  <si>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</si>
  <si>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</si>
  <si>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</si>
  <si>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</si>
  <si>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</si>
  <si>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</si>
  <si>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</si>
  <si>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</si>
  <si>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</si>
  <si>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</si>
  <si>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</si>
  <si>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</si>
  <si>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</si>
  <si>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</si>
  <si>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</si>
  <si>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</si>
  <si>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</si>
  <si>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</si>
  <si>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</si>
  <si>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</si>
  <si>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</si>
  <si>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</si>
  <si>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</si>
  <si>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</si>
  <si>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</si>
  <si>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</si>
  <si>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</si>
  <si>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</si>
  <si>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</si>
  <si>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</si>
  <si>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</si>
  <si>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</si>
  <si>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</si>
  <si>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</si>
  <si>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</si>
  <si>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</si>
  <si>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</si>
  <si>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</si>
  <si>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</si>
  <si>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</si>
  <si>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</si>
  <si>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</si>
  <si>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</si>
  <si>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</si>
  <si>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</si>
  <si>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</si>
  <si>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</si>
  <si>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</si>
  <si>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</si>
  <si>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</si>
  <si>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</si>
  <si>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</si>
  <si>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</si>
  <si>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</si>
  <si>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</si>
  <si>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</si>
  <si>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</si>
  <si>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</si>
  <si>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</si>
  <si>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</si>
  <si>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</si>
  <si>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</si>
  <si>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</si>
  <si>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</si>
  <si>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</si>
  <si>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</si>
  <si>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</si>
  <si>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</si>
  <si>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</si>
  <si>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</si>
  <si>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</si>
  <si>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</si>
  <si>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</si>
  <si>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</si>
  <si>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</si>
  <si>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</si>
  <si>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</si>
  <si>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</si>
  <si>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</si>
  <si>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</si>
  <si>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</si>
  <si>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</si>
  <si>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</si>
  <si>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</si>
  <si>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</si>
  <si>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</si>
  <si>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</si>
  <si>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</si>
  <si>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</si>
  <si>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</si>
  <si>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</si>
  <si>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</si>
  <si>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</si>
  <si>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</si>
  <si>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</si>
  <si>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</si>
  <si>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</si>
  <si>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</si>
  <si>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</si>
  <si>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</si>
  <si>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</si>
  <si>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</si>
  <si>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</si>
  <si>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</si>
  <si>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</si>
  <si>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</si>
  <si>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</si>
  <si>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</si>
  <si>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</si>
  <si>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</si>
  <si>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</si>
  <si>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</si>
  <si>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</si>
  <si>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</si>
  <si>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</si>
  <si>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</si>
  <si>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</si>
  <si>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</si>
  <si>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</si>
  <si>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</si>
  <si>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</si>
  <si>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</si>
  <si>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</si>
  <si>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</si>
  <si>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</si>
  <si>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</si>
  <si>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</si>
  <si>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</si>
  <si>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</si>
  <si>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</si>
  <si>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</si>
  <si>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</si>
  <si>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</si>
  <si>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</si>
  <si>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</si>
  <si>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</si>
  <si>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</si>
  <si>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</si>
  <si>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</si>
  <si>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</si>
  <si>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</si>
  <si>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</si>
  <si>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</si>
  <si>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</si>
  <si>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</si>
  <si>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</si>
  <si>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</si>
  <si>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</si>
  <si>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</si>
  <si>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</si>
  <si>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</si>
  <si>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</si>
  <si>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</si>
  <si>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</si>
  <si>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</si>
  <si>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</si>
  <si>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</si>
  <si>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</si>
  <si>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</si>
  <si>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</si>
  <si>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</si>
  <si>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</si>
  <si>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</si>
  <si>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</si>
  <si>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</si>
  <si>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</si>
  <si>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</si>
  <si>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</si>
  <si>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</si>
  <si>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</si>
  <si>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</si>
  <si>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</si>
  <si>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</si>
  <si>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</si>
  <si>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</si>
  <si>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</si>
  <si>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</si>
  <si>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</si>
  <si>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</si>
  <si>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</si>
  <si>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</si>
  <si>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</si>
  <si>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</si>
  <si>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</si>
  <si>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</si>
  <si>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</si>
  <si>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</si>
  <si>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</si>
  <si>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</si>
  <si>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</si>
  <si>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</si>
  <si>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</si>
  <si>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</si>
  <si>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</si>
  <si>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</si>
  <si>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</si>
  <si>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</si>
  <si>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</si>
  <si>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</si>
  <si>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</si>
  <si>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</si>
  <si>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</si>
  <si>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</si>
  <si>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</si>
  <si>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</si>
  <si>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</si>
  <si>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</si>
  <si>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</si>
  <si>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</si>
  <si>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</si>
  <si>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</si>
  <si>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</si>
  <si>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</si>
  <si>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</si>
  <si>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</si>
  <si>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</si>
  <si>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</si>
  <si>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</si>
  <si>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</si>
  <si>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</si>
  <si>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</si>
  <si>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</si>
  <si>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</si>
  <si>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</si>
  <si>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</si>
  <si>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</si>
  <si>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</si>
  <si>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</si>
  <si>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</si>
  <si>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</si>
  <si>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</si>
  <si>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</si>
  <si>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</si>
  <si>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</si>
  <si>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</si>
  <si>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</si>
  <si>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</si>
  <si>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</si>
  <si>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</si>
  <si>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</si>
  <si>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</si>
  <si>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</si>
  <si>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</si>
  <si>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</si>
  <si>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</si>
  <si>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</si>
  <si>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</si>
  <si>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</si>
  <si>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</si>
  <si>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</si>
  <si>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</si>
  <si>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</si>
  <si>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</si>
  <si>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</si>
  <si>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</si>
  <si>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</si>
  <si>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</si>
  <si>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</si>
  <si>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</si>
  <si>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</si>
  <si>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</si>
  <si>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</si>
  <si>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</si>
  <si>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</si>
  <si>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</si>
  <si>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</si>
  <si>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</si>
  <si>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</si>
  <si>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</si>
  <si>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</si>
  <si>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</si>
  <si>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</si>
  <si>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</si>
  <si>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</si>
  <si>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</si>
  <si>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</si>
  <si>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</si>
  <si>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</si>
  <si>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</si>
  <si>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</si>
  <si>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</si>
  <si>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</si>
  <si>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</si>
  <si>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</si>
  <si>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</si>
  <si>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</si>
  <si>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</si>
  <si>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</si>
  <si>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</si>
  <si>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</si>
  <si>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</si>
  <si>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</si>
  <si>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</si>
  <si>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</si>
  <si>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</si>
  <si>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</si>
  <si>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</si>
  <si>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</si>
  <si>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</si>
  <si>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</si>
  <si>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</si>
  <si>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</si>
  <si>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</si>
  <si>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</si>
  <si>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</si>
  <si>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</si>
  <si>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</si>
  <si>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</si>
  <si>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</si>
  <si>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</si>
  <si>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</si>
  <si>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</si>
  <si>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</si>
  <si>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</si>
  <si>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</si>
  <si>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</si>
  <si>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</si>
  <si>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</si>
  <si>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</si>
  <si>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</si>
  <si>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</si>
  <si>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</si>
  <si>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</si>
  <si>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</si>
  <si>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</si>
  <si>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</si>
  <si>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</si>
  <si>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</si>
  <si>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</si>
  <si>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</si>
  <si>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</si>
  <si>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</si>
  <si>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</si>
  <si>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</si>
  <si>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</si>
  <si>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</si>
  <si>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</si>
  <si>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</si>
  <si>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</si>
  <si>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</si>
  <si>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</si>
  <si>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</si>
  <si>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</si>
  <si>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</si>
  <si>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</si>
  <si>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</si>
  <si>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</si>
  <si>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</si>
  <si>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</si>
  <si>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</si>
  <si>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</si>
  <si>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</si>
  <si>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</si>
  <si>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</si>
  <si>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</si>
  <si>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</si>
  <si>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</si>
  <si>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</si>
  <si>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</si>
  <si>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</si>
  <si>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</si>
  <si>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</si>
  <si>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</si>
  <si>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</si>
  <si>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</si>
  <si>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</si>
  <si>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</si>
  <si>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</si>
  <si>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</si>
  <si>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</si>
  <si>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</si>
  <si>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</si>
  <si>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</si>
  <si>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</si>
  <si>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</si>
  <si>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</si>
  <si>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</si>
  <si>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</si>
  <si>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</si>
  <si>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</si>
  <si>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</si>
  <si>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</si>
  <si>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</si>
  <si>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</si>
  <si>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</si>
  <si>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</si>
  <si>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</si>
  <si>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</si>
  <si>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</si>
  <si>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</si>
  <si>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</si>
  <si>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</si>
  <si>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</si>
  <si>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</si>
  <si>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</si>
  <si>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</si>
  <si>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</si>
  <si>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</si>
  <si>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</si>
  <si>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</si>
  <si>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</si>
  <si>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</si>
  <si>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</si>
  <si>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</si>
  <si>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</si>
  <si>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</si>
  <si>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</si>
  <si>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</si>
  <si>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</si>
  <si>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</si>
  <si>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</si>
  <si>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</si>
  <si>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</si>
  <si>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</si>
  <si>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</si>
  <si>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</si>
  <si>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</si>
  <si>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</si>
  <si>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</si>
  <si>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</si>
  <si>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</si>
  <si>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</si>
  <si>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</si>
  <si>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</si>
  <si>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</si>
  <si>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</si>
  <si>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</si>
  <si>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</si>
  <si>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</si>
  <si>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</si>
  <si>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</si>
  <si>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</si>
  <si>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</si>
  <si>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</si>
  <si>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</si>
  <si>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</si>
  <si>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</si>
  <si>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</si>
  <si>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</si>
  <si>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</si>
  <si>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</si>
  <si>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</si>
  <si>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</si>
  <si>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</si>
  <si>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</si>
  <si>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</si>
  <si>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</si>
  <si>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</si>
  <si>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</si>
  <si>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</si>
  <si>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</si>
  <si>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</si>
  <si>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</si>
  <si>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</si>
  <si>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</si>
  <si>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</si>
  <si>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</si>
  <si>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</si>
  <si>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</si>
  <si>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</si>
  <si>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</si>
  <si>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</si>
  <si>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</si>
  <si>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</si>
  <si>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</si>
  <si>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</si>
  <si>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</si>
  <si>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</si>
  <si>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</si>
  <si>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</si>
  <si>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</si>
  <si>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</si>
  <si>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</si>
  <si>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</si>
  <si>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</si>
  <si>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</si>
  <si>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</si>
  <si>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</si>
  <si>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</si>
  <si>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</si>
  <si>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</si>
  <si>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</si>
  <si>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</si>
  <si>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</si>
  <si>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</si>
  <si>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</si>
  <si>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</si>
  <si>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</si>
  <si>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</si>
  <si>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</si>
  <si>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</si>
  <si>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</si>
  <si>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</si>
  <si>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</si>
  <si>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</si>
  <si>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</si>
  <si>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</si>
  <si>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</si>
  <si>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</si>
  <si>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</si>
  <si>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</si>
  <si>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</si>
  <si>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</si>
  <si>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</si>
  <si>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</si>
  <si>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</si>
  <si>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</si>
  <si>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</si>
  <si>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</si>
  <si>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</si>
  <si>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</si>
  <si>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</si>
  <si>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</si>
  <si>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</si>
  <si>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</si>
  <si>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</si>
  <si>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</si>
  <si>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</si>
  <si>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</si>
  <si>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</si>
  <si>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</si>
  <si>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</si>
  <si>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</si>
  <si>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</si>
  <si>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</si>
  <si>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</si>
  <si>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</si>
  <si>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</si>
  <si>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</si>
  <si>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</si>
  <si>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</si>
  <si>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</si>
  <si>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</si>
  <si>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</si>
  <si>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</si>
  <si>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</si>
  <si>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</si>
  <si>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</si>
  <si>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</si>
  <si>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</si>
  <si>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</si>
  <si>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</si>
  <si>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</si>
  <si>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</si>
  <si>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</si>
  <si>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</si>
  <si>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</si>
  <si>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</si>
  <si>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</si>
  <si>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</si>
  <si>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</si>
  <si>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</si>
  <si>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</si>
  <si>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</si>
  <si>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</si>
  <si>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</si>
  <si>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</si>
  <si>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</si>
  <si>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</si>
  <si>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</si>
  <si>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</si>
  <si>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</si>
  <si>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</si>
  <si>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</si>
  <si>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</si>
  <si>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</si>
  <si>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</si>
  <si>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</si>
  <si>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</si>
  <si>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</si>
  <si>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</si>
  <si>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</si>
  <si>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</si>
  <si>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</si>
  <si>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</si>
  <si>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</si>
  <si>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</si>
  <si>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</si>
  <si>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</si>
  <si>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</si>
  <si>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</si>
  <si>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</si>
  <si>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</si>
  <si>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</si>
  <si>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</si>
  <si>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</si>
  <si>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</si>
  <si>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</si>
  <si>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</si>
  <si>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</si>
  <si>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</si>
  <si>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</si>
  <si>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</si>
  <si>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</si>
  <si>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</si>
  <si>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</si>
  <si>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</si>
  <si>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</si>
  <si>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</si>
  <si>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</si>
  <si>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</si>
  <si>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</si>
  <si>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</si>
  <si>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</si>
  <si>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</si>
  <si>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</si>
  <si>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</si>
  <si>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</si>
  <si>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</si>
  <si>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</si>
  <si>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</si>
  <si>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</si>
  <si>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</si>
  <si>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</si>
  <si>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</si>
  <si>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</si>
  <si>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</si>
  <si>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</si>
  <si>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</si>
  <si>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</si>
  <si>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</si>
  <si>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</si>
  <si>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</si>
  <si>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</si>
  <si>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</si>
  <si>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</si>
  <si>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</si>
  <si>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</si>
  <si>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</si>
  <si>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</si>
  <si>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</si>
  <si>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</si>
  <si>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</si>
  <si>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</si>
  <si>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</si>
  <si>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</si>
  <si>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</si>
  <si>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</si>
  <si>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</si>
  <si>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</si>
  <si>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</si>
  <si>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</si>
  <si>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</si>
  <si>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</si>
  <si>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</si>
  <si>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</si>
  <si>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</si>
  <si>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</si>
  <si>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</si>
  <si>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</si>
  <si>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</si>
  <si>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</si>
  <si>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</si>
  <si>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</si>
  <si>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</si>
  <si>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</si>
  <si>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</si>
  <si>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</si>
  <si>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</si>
  <si>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</si>
  <si>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</si>
  <si>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</si>
  <si>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</si>
  <si>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</si>
  <si>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</si>
  <si>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</si>
  <si>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</si>
  <si>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</si>
  <si>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</si>
  <si>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</si>
  <si>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</si>
  <si>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</si>
  <si>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</si>
  <si>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</si>
  <si>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</si>
  <si>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</si>
  <si>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</si>
  <si>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</si>
  <si>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</si>
  <si>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</si>
  <si>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</si>
  <si>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</si>
  <si>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</si>
  <si>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</si>
  <si>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</si>
  <si>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</si>
  <si>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</si>
  <si>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</si>
  <si>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</si>
  <si>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</si>
  <si>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</si>
  <si>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</si>
  <si>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</si>
  <si>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</si>
  <si>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</si>
  <si>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</si>
  <si>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</si>
  <si>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</si>
  <si>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</si>
  <si>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</si>
  <si>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</si>
  <si>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</si>
  <si>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</si>
  <si>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</si>
  <si>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</si>
  <si>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</si>
  <si>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</si>
  <si>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</si>
  <si>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</si>
  <si>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</si>
  <si>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</si>
  <si>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</si>
  <si>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</si>
  <si>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</si>
  <si>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</si>
  <si>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</si>
  <si>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</si>
  <si>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</si>
  <si>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</si>
  <si>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</si>
  <si>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</si>
  <si>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</si>
  <si>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</si>
  <si>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</si>
  <si>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</si>
  <si>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</si>
  <si>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</si>
  <si>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</si>
  <si>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</si>
  <si>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</si>
  <si>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</si>
  <si>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</si>
  <si>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</si>
  <si>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</si>
  <si>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</si>
  <si>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</si>
  <si>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</si>
  <si>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</si>
  <si>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</si>
  <si>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</si>
  <si>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</si>
  <si>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</si>
  <si>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</si>
  <si>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</si>
  <si>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</si>
  <si>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</si>
  <si>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</si>
  <si>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</si>
  <si>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</si>
  <si>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</si>
  <si>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</si>
  <si>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</si>
  <si>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</si>
  <si>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</si>
  <si>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</si>
  <si>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</si>
  <si>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</si>
  <si>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</si>
  <si>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</si>
  <si>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</si>
  <si>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</si>
  <si>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</si>
  <si>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</si>
  <si>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</si>
  <si>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</si>
  <si>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</si>
  <si>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</si>
  <si>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</si>
  <si>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</si>
  <si>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</si>
  <si>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</si>
  <si>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</si>
  <si>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</si>
  <si>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</si>
  <si>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</si>
  <si>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</si>
  <si>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</si>
  <si>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</si>
  <si>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</si>
  <si>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</si>
  <si>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</si>
  <si>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</si>
  <si>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</si>
  <si>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</si>
  <si>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</si>
  <si>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</si>
  <si>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</si>
  <si>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</si>
  <si>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</si>
  <si>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</si>
  <si>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</si>
  <si>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</si>
  <si>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</si>
  <si>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</si>
  <si>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</si>
  <si>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</si>
  <si>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</si>
  <si>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</si>
  <si>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</si>
  <si>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</si>
  <si>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</si>
  <si>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</si>
  <si>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</si>
  <si>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</si>
  <si>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</si>
  <si>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</si>
  <si>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</si>
  <si>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</si>
  <si>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</si>
  <si>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</si>
  <si>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</si>
  <si>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</si>
  <si>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</si>
  <si>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</si>
  <si>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</si>
  <si>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</si>
  <si>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</si>
  <si>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</si>
  <si>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</si>
  <si>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</si>
  <si>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</si>
  <si>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</si>
  <si>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</si>
  <si>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</si>
  <si>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</si>
  <si>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</si>
  <si>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</si>
  <si>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</si>
  <si>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</si>
  <si>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</si>
  <si>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</si>
  <si>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</si>
  <si>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</si>
  <si>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</si>
  <si>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</si>
  <si>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</si>
  <si>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</si>
  <si>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</si>
  <si>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</si>
  <si>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</si>
  <si>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</si>
  <si>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</si>
  <si>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</si>
  <si>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</si>
  <si>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</si>
  <si>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</si>
  <si>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</si>
  <si>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</si>
  <si>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</si>
  <si>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</si>
  <si>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</si>
  <si>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</si>
  <si>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</si>
  <si>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</si>
  <si>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</si>
  <si>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</si>
  <si>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</si>
  <si>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</si>
  <si>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</si>
  <si>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</si>
  <si>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</si>
  <si>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</si>
  <si>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</si>
  <si>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</si>
  <si>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</si>
  <si>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</si>
  <si>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</si>
  <si>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</si>
  <si>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</si>
  <si>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</si>
  <si>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</si>
  <si>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</si>
  <si>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</si>
  <si>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</si>
  <si>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</si>
  <si>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</si>
  <si>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</si>
  <si>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</si>
  <si>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</si>
  <si>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</si>
  <si>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</si>
  <si>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</si>
  <si>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</si>
  <si>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</si>
  <si>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</si>
  <si>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</si>
  <si>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</si>
  <si>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</si>
  <si>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</si>
  <si>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</si>
  <si>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</si>
  <si>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</si>
  <si>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</si>
  <si>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</si>
  <si>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</si>
  <si>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</si>
  <si>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</si>
  <si>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</si>
  <si>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</si>
  <si>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</si>
  <si>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</si>
  <si>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</si>
  <si>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</si>
  <si>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</si>
  <si>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</si>
  <si>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</si>
  <si>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</si>
  <si>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</si>
  <si>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</si>
  <si>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</si>
  <si>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</si>
  <si>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</si>
  <si>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</si>
  <si>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</si>
  <si>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</si>
  <si>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</si>
  <si>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</si>
  <si>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</si>
  <si>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</si>
  <si>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</si>
  <si>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</si>
  <si>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</si>
  <si>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</si>
  <si>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</si>
  <si>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</si>
  <si>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</si>
  <si>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</si>
  <si>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</si>
  <si>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</si>
  <si>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</si>
  <si>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</si>
  <si>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</si>
  <si>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</si>
  <si>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</si>
  <si>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</si>
  <si>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</si>
  <si>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</si>
  <si>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</si>
  <si>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</si>
  <si>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</si>
  <si>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</si>
  <si>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</si>
  <si>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</si>
  <si>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</si>
  <si>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</si>
  <si>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</si>
  <si>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</si>
  <si>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</si>
  <si>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</si>
  <si>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</si>
  <si>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</si>
  <si>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</si>
  <si>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</si>
  <si>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</si>
  <si>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</si>
  <si>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</si>
  <si>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</si>
  <si>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</si>
  <si>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</si>
  <si>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</si>
  <si>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</si>
  <si>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</si>
  <si>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</si>
  <si>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</si>
  <si>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</si>
  <si>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</si>
  <si>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</si>
  <si>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</si>
  <si>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</si>
  <si>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</si>
  <si>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</si>
  <si>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</si>
  <si>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</si>
  <si>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</si>
  <si>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</si>
  <si>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</si>
  <si>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</si>
  <si>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</si>
  <si>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</si>
  <si>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</si>
  <si>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</si>
  <si>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</si>
  <si>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</si>
  <si>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</si>
  <si>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</si>
  <si>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</si>
  <si>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</si>
  <si>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</si>
  <si>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</si>
  <si>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</si>
  <si>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</si>
  <si>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</si>
  <si>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</si>
  <si>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</si>
  <si>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</si>
  <si>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</si>
  <si>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</si>
  <si>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</si>
  <si>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</si>
  <si>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</si>
  <si>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</si>
  <si>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</si>
  <si>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</si>
  <si>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</si>
  <si>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</si>
  <si>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</si>
  <si>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</si>
  <si>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</si>
  <si>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</si>
  <si>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</si>
  <si>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</si>
  <si>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</si>
  <si>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</si>
  <si>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</si>
  <si>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</si>
  <si>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</si>
  <si>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</si>
  <si>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</si>
  <si>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</si>
  <si>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</si>
  <si>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</si>
  <si>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</si>
  <si>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</si>
  <si>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</si>
  <si>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</si>
  <si>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</si>
  <si>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</si>
  <si>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</si>
  <si>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</si>
  <si>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</si>
  <si>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</si>
  <si>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</si>
  <si>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</si>
  <si>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</si>
  <si>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</si>
  <si>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</si>
  <si>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</si>
  <si>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</si>
  <si>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</si>
  <si>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</si>
  <si>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</si>
  <si>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</si>
  <si>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</si>
  <si>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</si>
  <si>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</si>
  <si>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</si>
  <si>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</si>
  <si>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</si>
  <si>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</si>
  <si>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</si>
  <si>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</si>
  <si>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</si>
  <si>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</si>
  <si>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</si>
  <si>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</si>
  <si>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</si>
  <si>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</si>
  <si>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</si>
  <si>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</si>
  <si>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</si>
  <si>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</si>
  <si>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</si>
  <si>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</si>
  <si>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</si>
  <si>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</si>
  <si>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</si>
  <si>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</si>
  <si>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</si>
  <si>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</si>
  <si>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</si>
  <si>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</si>
  <si>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</si>
  <si>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</si>
  <si>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</si>
  <si>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</si>
  <si>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</si>
  <si>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</si>
  <si>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</si>
  <si>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</si>
  <si>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</si>
  <si>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</si>
  <si>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</si>
  <si>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</si>
  <si>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</si>
  <si>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</si>
  <si>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</si>
  <si>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</si>
  <si>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</si>
  <si>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</si>
  <si>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</si>
  <si>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</si>
  <si>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</si>
  <si>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</si>
  <si>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</si>
  <si>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</si>
  <si>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</si>
  <si>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</si>
  <si>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</si>
  <si>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</si>
  <si>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</si>
  <si>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</si>
  <si>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</si>
  <si>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</si>
  <si>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</si>
  <si>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</si>
  <si>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</si>
  <si>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</si>
  <si>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</si>
  <si>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</si>
  <si>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</si>
  <si>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</si>
  <si>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</si>
  <si>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</si>
  <si>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</si>
  <si>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</si>
  <si>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</si>
  <si>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</si>
  <si>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</si>
  <si>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</si>
  <si>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</si>
  <si>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</si>
  <si>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</si>
  <si>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</si>
  <si>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</si>
  <si>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</si>
  <si>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</si>
  <si>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</si>
  <si>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</si>
  <si>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</si>
  <si>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</si>
  <si>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</si>
  <si>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</si>
  <si>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</si>
  <si>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</si>
  <si>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</si>
  <si>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</si>
  <si>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</si>
  <si>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</si>
  <si>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</si>
  <si>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</si>
  <si>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</si>
  <si>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</si>
  <si>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</si>
  <si>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</si>
  <si>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</si>
  <si>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</si>
  <si>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</si>
  <si>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</si>
  <si>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</si>
  <si>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</si>
  <si>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</si>
  <si>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</si>
  <si>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</si>
  <si>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</si>
  <si>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</si>
  <si>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</si>
  <si>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</si>
  <si>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</si>
  <si>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</si>
  <si>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</si>
  <si>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</si>
  <si>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</si>
  <si>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</si>
  <si>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</si>
  <si>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</si>
  <si>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</si>
  <si>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</si>
  <si>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</si>
  <si>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</si>
  <si>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</si>
  <si>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</si>
  <si>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</si>
  <si>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</si>
  <si>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</si>
  <si>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</si>
  <si>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</si>
  <si>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</si>
  <si>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</si>
  <si>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</si>
  <si>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</si>
  <si>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</si>
  <si>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</si>
  <si>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</si>
  <si>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</si>
  <si>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</si>
  <si>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</si>
  <si>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</si>
  <si>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</si>
  <si>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</si>
  <si>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</si>
  <si>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</si>
  <si>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</si>
  <si>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</si>
  <si>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</si>
  <si>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</si>
  <si>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</si>
  <si>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</si>
  <si>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</si>
  <si>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</si>
  <si>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</si>
  <si>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</si>
  <si>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</si>
  <si>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</si>
  <si>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</si>
  <si>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</si>
  <si>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</si>
  <si>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</si>
  <si>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</si>
  <si>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</si>
  <si>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</si>
  <si>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</si>
  <si>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</si>
  <si>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</si>
  <si>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</si>
  <si>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</si>
  <si>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</si>
  <si>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</si>
  <si>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</si>
  <si>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</si>
  <si>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</si>
  <si>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</si>
  <si>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</si>
  <si>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</si>
  <si>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</si>
  <si>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</si>
  <si>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</si>
  <si>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</si>
  <si>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</si>
  <si>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</si>
  <si>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</si>
  <si>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</si>
  <si>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</si>
  <si>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</si>
  <si>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</si>
  <si>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</si>
  <si>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</si>
  <si>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</si>
  <si>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</si>
  <si>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</si>
  <si>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</si>
  <si>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</si>
  <si>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</si>
  <si>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</si>
  <si>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</si>
  <si>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</si>
  <si>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</si>
  <si>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</si>
  <si>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</si>
  <si>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</si>
  <si>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</si>
  <si>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</si>
  <si>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</si>
  <si>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</si>
  <si>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</si>
  <si>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</si>
  <si>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</si>
  <si>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</si>
  <si>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</si>
  <si>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</si>
  <si>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</si>
  <si>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</si>
  <si>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</si>
  <si>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</si>
  <si>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</si>
  <si>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</si>
  <si>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</si>
  <si>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</si>
  <si>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</si>
  <si>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</si>
  <si>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</si>
  <si>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</si>
  <si>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</si>
  <si>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</si>
  <si>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</si>
  <si>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</si>
  <si>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</si>
  <si>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</si>
  <si>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</si>
  <si>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</si>
  <si>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</si>
  <si>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</si>
  <si>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</si>
  <si>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</si>
  <si>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</si>
  <si>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</si>
  <si>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</si>
  <si>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</si>
  <si>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</si>
  <si>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</si>
  <si>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</si>
  <si>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</si>
  <si>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</si>
  <si>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</si>
  <si>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</si>
  <si>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</si>
  <si>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</si>
  <si>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</si>
  <si>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</si>
  <si>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</si>
  <si>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</si>
  <si>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</si>
  <si>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</si>
  <si>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</si>
  <si>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</si>
  <si>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</si>
  <si>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</si>
  <si>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</si>
  <si>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</si>
  <si>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</si>
  <si>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</si>
  <si>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</si>
  <si>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</si>
  <si>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</si>
  <si>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</si>
  <si>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</si>
  <si>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</si>
  <si>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</si>
  <si>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</si>
  <si>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</si>
  <si>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</si>
  <si>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</si>
  <si>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</si>
  <si>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</si>
  <si>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</si>
  <si>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</si>
  <si>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</si>
  <si>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</si>
  <si>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</si>
  <si>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</si>
  <si>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</si>
  <si>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</si>
  <si>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</si>
  <si>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</si>
  <si>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</si>
  <si>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</si>
  <si>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</si>
  <si>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</si>
  <si>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</si>
  <si>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</si>
  <si>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</si>
  <si>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</si>
  <si>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</si>
  <si>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</si>
  <si>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</si>
  <si>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</si>
  <si>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</si>
  <si>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</si>
  <si>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</si>
  <si>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</si>
  <si>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</si>
  <si>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</si>
  <si>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</si>
  <si>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</si>
  <si>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</si>
  <si>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</si>
  <si>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</si>
  <si>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</si>
  <si>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</si>
  <si>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</si>
  <si>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</si>
  <si>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</si>
  <si>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</si>
  <si>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</si>
  <si>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</si>
  <si>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</si>
  <si>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</si>
  <si>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</si>
  <si>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</si>
  <si>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</si>
  <si>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</si>
  <si>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</si>
  <si>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</si>
  <si>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</si>
  <si>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</si>
  <si>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</si>
  <si>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</si>
  <si>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</si>
  <si>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</si>
  <si>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</si>
  <si>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</si>
  <si>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</si>
  <si>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</si>
  <si>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</si>
  <si>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</si>
  <si>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</si>
  <si>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</si>
  <si>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</si>
  <si>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</si>
  <si>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</si>
  <si>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</si>
  <si>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</si>
  <si>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</si>
  <si>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</si>
  <si>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</si>
  <si>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</si>
  <si>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</si>
  <si>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</si>
  <si>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</si>
  <si>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</si>
  <si>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</si>
  <si>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</si>
  <si>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</si>
  <si>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</si>
  <si>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</si>
  <si>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</si>
  <si>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</si>
  <si>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</si>
  <si>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</si>
  <si>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</si>
  <si>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</si>
  <si>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</si>
  <si>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</si>
  <si>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</si>
  <si>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</si>
  <si>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</si>
  <si>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</si>
  <si>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</si>
  <si>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</si>
  <si>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</si>
  <si>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</si>
  <si>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</si>
  <si>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</si>
  <si>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</si>
  <si>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</si>
  <si>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</si>
  <si>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</si>
  <si>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</si>
  <si>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</si>
  <si>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</si>
  <si>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</si>
  <si>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</si>
  <si>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</si>
  <si>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</si>
  <si>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</si>
  <si>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</si>
  <si>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</si>
  <si>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</si>
  <si>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</si>
  <si>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</si>
  <si>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</si>
  <si>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</si>
  <si>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</si>
  <si>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</si>
  <si>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</si>
  <si>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</si>
  <si>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</si>
  <si>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</si>
  <si>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</si>
  <si>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</si>
  <si>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</si>
  <si>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</si>
  <si>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</si>
  <si>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</si>
  <si>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</si>
  <si>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</si>
  <si>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</si>
  <si>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</si>
  <si>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</si>
  <si>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</si>
  <si>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</si>
  <si>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</si>
  <si>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</si>
  <si>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</si>
  <si>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</si>
  <si>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</si>
  <si>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</si>
  <si>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</si>
  <si>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</si>
  <si>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</si>
  <si>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</si>
  <si>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</si>
  <si>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</si>
  <si>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</si>
  <si>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</si>
  <si>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</si>
  <si>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</si>
  <si>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</si>
  <si>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</si>
  <si>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</si>
  <si>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</si>
  <si>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</si>
  <si>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</si>
  <si>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</si>
  <si>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</si>
  <si>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</si>
  <si>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</si>
  <si>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</si>
  <si>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</si>
  <si>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</si>
  <si>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</si>
  <si>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</si>
  <si>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</si>
  <si>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</si>
  <si>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</si>
  <si>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</si>
  <si>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</si>
  <si>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</si>
  <si>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</si>
  <si>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</si>
  <si>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</si>
  <si>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</si>
  <si>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</si>
  <si>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</si>
  <si>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</si>
  <si>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</si>
  <si>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</si>
  <si>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</si>
  <si>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</si>
  <si>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</si>
  <si>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</si>
  <si>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</si>
  <si>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</si>
  <si>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</si>
  <si>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</si>
  <si>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</si>
  <si>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</si>
  <si>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</si>
  <si>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</si>
  <si>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</si>
  <si>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</si>
  <si>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</si>
  <si>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</si>
  <si>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</si>
  <si>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</si>
  <si>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</si>
  <si>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</si>
  <si>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</si>
  <si>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</si>
  <si>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</si>
  <si>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</si>
  <si>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</si>
  <si>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</si>
  <si>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</si>
  <si>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</si>
  <si>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</si>
  <si>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</si>
  <si>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</si>
  <si>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</si>
  <si>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</si>
  <si>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</si>
  <si>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</si>
  <si>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</si>
  <si>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</si>
  <si>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</si>
  <si>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</si>
  <si>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</si>
  <si>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</si>
  <si>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</si>
  <si>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</si>
  <si>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</si>
  <si>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</si>
  <si>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</si>
  <si>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</si>
  <si>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</si>
  <si>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</si>
  <si>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</si>
  <si>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</si>
  <si>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</si>
  <si>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</si>
  <si>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</si>
  <si>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</si>
  <si>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</si>
  <si>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</si>
  <si>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</si>
  <si>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</si>
  <si>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</si>
  <si>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</si>
  <si>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</si>
  <si>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</si>
  <si>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</si>
  <si>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</si>
  <si>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</si>
  <si>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</si>
  <si>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</si>
  <si>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</si>
  <si>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</si>
  <si>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</si>
  <si>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</si>
  <si>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</si>
  <si>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</si>
  <si>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</si>
  <si>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</si>
  <si>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</si>
  <si>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</si>
  <si>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</si>
  <si>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</si>
  <si>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</si>
  <si>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</si>
  <si>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</si>
  <si>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</si>
  <si>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</si>
  <si>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</si>
  <si>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</si>
  <si>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</si>
  <si>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</si>
  <si>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</si>
  <si>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</si>
  <si>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</si>
  <si>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</si>
  <si>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</si>
  <si>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</si>
  <si>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</si>
  <si>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</si>
  <si>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</si>
  <si>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</si>
  <si>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</si>
  <si>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</si>
  <si>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</si>
  <si>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</si>
  <si>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</si>
  <si>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</si>
  <si>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</si>
  <si>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</si>
  <si>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</si>
  <si>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</si>
  <si>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</si>
  <si>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</si>
  <si>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</si>
  <si>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</si>
  <si>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</si>
  <si>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</si>
  <si>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</si>
  <si>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</si>
  <si>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</si>
  <si>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</si>
  <si>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</si>
  <si>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</si>
  <si>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</si>
  <si>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</si>
  <si>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</si>
  <si>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</si>
  <si>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</si>
  <si>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</si>
  <si>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</si>
  <si>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</si>
  <si>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</si>
  <si>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</si>
  <si>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</si>
  <si>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</si>
  <si>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</si>
  <si>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</si>
  <si>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</si>
  <si>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</si>
  <si>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</si>
  <si>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</si>
  <si>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</si>
  <si>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</si>
  <si>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</si>
  <si>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</si>
  <si>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</si>
  <si>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</si>
  <si>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</si>
  <si>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</si>
  <si>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</si>
  <si>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</si>
  <si>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</si>
  <si>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</si>
  <si>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</si>
  <si>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</si>
  <si>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</si>
  <si>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</si>
  <si>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</si>
  <si>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</si>
  <si>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</si>
  <si>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</si>
  <si>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</si>
  <si>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</si>
  <si>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</si>
  <si>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</si>
  <si>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</si>
  <si>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</si>
  <si>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</si>
  <si>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</si>
  <si>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</si>
  <si>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</si>
  <si>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</si>
  <si>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</si>
  <si>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</si>
  <si>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</si>
  <si>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</si>
  <si>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</si>
  <si>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</si>
  <si>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</si>
  <si>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</si>
  <si>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</si>
  <si>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</si>
  <si>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</si>
  <si>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</si>
  <si>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</si>
  <si>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</si>
  <si>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</si>
  <si>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</si>
  <si>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</si>
  <si>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</si>
  <si>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</si>
  <si>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</si>
  <si>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</si>
  <si>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</si>
  <si>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</si>
  <si>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</si>
  <si>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</si>
  <si>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</si>
  <si>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</si>
  <si>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</si>
  <si>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</si>
  <si>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</si>
  <si>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</si>
  <si>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</si>
  <si>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</si>
  <si>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</si>
  <si>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</si>
  <si>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</si>
  <si>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</si>
  <si>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</si>
  <si>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</si>
  <si>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</si>
  <si>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</si>
  <si>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</si>
  <si>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</si>
  <si>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</si>
  <si>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</si>
  <si>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</si>
  <si>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</si>
  <si>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</si>
  <si>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</si>
  <si>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</si>
  <si>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</si>
  <si>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</si>
  <si>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</si>
  <si>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</si>
  <si>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</si>
  <si>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</si>
  <si>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</si>
  <si>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</si>
  <si>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</si>
  <si>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</si>
  <si>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</si>
  <si>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</si>
  <si>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</si>
  <si>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</si>
  <si>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</si>
  <si>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</si>
  <si>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</si>
  <si>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</si>
  <si>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</si>
  <si>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</si>
  <si>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</si>
  <si>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</si>
  <si>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</si>
  <si>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</si>
  <si>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</si>
  <si>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</si>
  <si>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</si>
  <si>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</si>
  <si>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</si>
  <si>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</si>
  <si>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</si>
  <si>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</si>
  <si>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</si>
  <si>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</si>
  <si>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</si>
  <si>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</si>
  <si>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</si>
  <si>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</si>
  <si>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</si>
  <si>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</si>
  <si>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</si>
  <si>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</si>
  <si>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</si>
  <si>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</si>
  <si>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</si>
  <si>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</si>
  <si>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</si>
  <si>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</si>
  <si>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</si>
  <si>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</si>
  <si>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</si>
  <si>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</si>
  <si>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</si>
  <si>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</si>
  <si>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</si>
  <si>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</si>
  <si>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</si>
  <si>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</si>
  <si>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</si>
  <si>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</si>
  <si>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</si>
  <si>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</si>
  <si>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</si>
  <si>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</si>
  <si>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</si>
  <si>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</si>
  <si>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</si>
  <si>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</si>
  <si>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</si>
  <si>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</si>
  <si>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</si>
  <si>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</si>
  <si>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</si>
  <si>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</si>
  <si>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</si>
  <si>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</si>
  <si>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</si>
  <si>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</si>
  <si>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</si>
  <si>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</si>
  <si>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</si>
  <si>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</si>
  <si>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</si>
  <si>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</si>
  <si>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</si>
  <si>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</si>
  <si>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</si>
  <si>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</si>
  <si>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</si>
  <si>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</si>
  <si>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</si>
  <si>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</si>
  <si>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</si>
  <si>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</si>
  <si>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</si>
  <si>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</si>
  <si>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</si>
  <si>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</si>
  <si>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</si>
  <si>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</si>
  <si>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</si>
  <si>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</si>
  <si>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</si>
  <si>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</si>
  <si>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</si>
  <si>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</si>
  <si>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</si>
  <si>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</si>
  <si>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</si>
  <si>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</si>
  <si>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</si>
  <si>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</si>
  <si>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</si>
  <si>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</si>
  <si>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</si>
  <si>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</si>
  <si>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</si>
  <si>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</si>
  <si>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</si>
  <si>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</si>
  <si>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</si>
  <si>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</si>
  <si>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</si>
  <si>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</si>
  <si>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</si>
  <si>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</si>
  <si>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</si>
  <si>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</si>
  <si>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</si>
  <si>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</si>
  <si>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</si>
  <si>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</si>
  <si>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</si>
  <si>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</si>
  <si>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</si>
  <si>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</si>
  <si>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</si>
  <si>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</si>
  <si>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</si>
  <si>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</si>
  <si>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</si>
  <si>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</si>
  <si>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</si>
  <si>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</si>
  <si>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</si>
  <si>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</si>
  <si>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</si>
  <si>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</si>
  <si>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</si>
  <si>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</si>
  <si>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</si>
  <si>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</si>
  <si>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</si>
  <si>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</si>
  <si>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</si>
  <si>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</si>
  <si>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</si>
  <si>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</si>
  <si>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</si>
  <si>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</si>
  <si>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</si>
  <si>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</si>
  <si>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</si>
  <si>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</si>
  <si>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</si>
  <si>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</si>
  <si>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</si>
  <si>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</si>
  <si>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</si>
  <si>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</si>
  <si>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</si>
  <si>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</si>
  <si>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</si>
  <si>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</si>
  <si>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</si>
  <si>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</si>
  <si>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</si>
  <si>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</si>
  <si>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</si>
  <si>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</si>
  <si>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</si>
  <si>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</si>
  <si>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</si>
  <si>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</si>
  <si>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</si>
  <si>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</si>
  <si>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</si>
  <si>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</si>
  <si>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</si>
  <si>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</si>
  <si>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</si>
  <si>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</si>
  <si>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</si>
  <si>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</si>
  <si>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</si>
  <si>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</si>
  <si>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</si>
  <si>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</si>
  <si>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</si>
  <si>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</si>
  <si>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</si>
  <si>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</si>
  <si>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</si>
  <si>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</si>
  <si>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</si>
  <si>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</si>
  <si>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</si>
  <si>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</si>
  <si>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</si>
  <si>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</si>
  <si>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</si>
  <si>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</si>
  <si>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</si>
  <si>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</si>
  <si>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</si>
  <si>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</si>
  <si>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</si>
  <si>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</si>
  <si>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</si>
  <si>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</si>
  <si>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</si>
  <si>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</si>
  <si>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</si>
  <si>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</si>
  <si>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</si>
  <si>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</si>
  <si>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</si>
  <si>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</si>
  <si>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</si>
  <si>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</si>
  <si>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</si>
  <si>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</si>
  <si>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</si>
  <si>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</si>
  <si>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</si>
  <si>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</si>
  <si>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</si>
  <si>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</si>
  <si>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</si>
  <si>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</si>
  <si>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</si>
  <si>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</si>
  <si>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</si>
  <si>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</si>
  <si>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</si>
  <si>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</si>
  <si>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</si>
  <si>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</si>
  <si>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</si>
  <si>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</si>
  <si>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</si>
  <si>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</si>
  <si>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</si>
  <si>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</si>
  <si>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</si>
  <si>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</si>
  <si>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</si>
  <si>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</si>
  <si>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</si>
  <si>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</si>
  <si>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</si>
  <si>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</si>
  <si>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</si>
  <si>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</si>
  <si>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</si>
  <si>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</si>
  <si>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</si>
  <si>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</si>
  <si>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</si>
  <si>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</si>
  <si>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</si>
  <si>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</si>
  <si>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</si>
  <si>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</si>
  <si>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</si>
  <si>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</si>
  <si>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</si>
  <si>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</si>
  <si>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</si>
  <si>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</si>
  <si>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</si>
  <si>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</si>
  <si>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</si>
  <si>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</si>
  <si>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</si>
  <si>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</si>
  <si>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</si>
  <si>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</si>
  <si>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</si>
  <si>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</si>
  <si>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</si>
  <si>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</si>
  <si>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</si>
  <si>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</si>
  <si>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</si>
  <si>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</si>
  <si>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</si>
  <si>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</si>
  <si>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</si>
  <si>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</si>
  <si>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</si>
  <si>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</si>
  <si>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</si>
  <si>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</si>
  <si>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</si>
  <si>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</si>
  <si>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</si>
  <si>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</si>
  <si>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</si>
  <si>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</si>
  <si>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</si>
  <si>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</si>
  <si>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</si>
  <si>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</si>
  <si>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</si>
  <si>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</si>
  <si>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</si>
  <si>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</si>
  <si>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</si>
  <si>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</si>
  <si>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</si>
  <si>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</si>
  <si>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</si>
  <si>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</si>
  <si>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</si>
  <si>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</si>
  <si>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</si>
  <si>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</si>
  <si>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</si>
  <si>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</si>
  <si>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</si>
  <si>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</si>
  <si>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</si>
  <si>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</si>
  <si>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</si>
  <si>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</si>
  <si>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</si>
  <si>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</si>
  <si>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</si>
  <si>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</si>
  <si>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</si>
  <si>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</si>
  <si>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</si>
  <si>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</si>
  <si>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</si>
  <si>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</si>
  <si>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</si>
  <si>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</si>
  <si>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</si>
  <si>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</si>
  <si>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</si>
  <si>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</si>
  <si>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</si>
  <si>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</si>
  <si>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</si>
  <si>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</si>
  <si>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</si>
  <si>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</si>
  <si>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</si>
  <si>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</si>
  <si>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</si>
  <si>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</si>
  <si>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</si>
  <si>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</si>
  <si>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</si>
  <si>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</si>
  <si>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</si>
  <si>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</si>
  <si>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</si>
  <si>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</si>
  <si>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</si>
  <si>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</si>
  <si>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</si>
  <si>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</si>
  <si>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</si>
  <si>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</si>
  <si>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</si>
  <si>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</si>
  <si>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</si>
  <si>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</si>
  <si>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</si>
  <si>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</si>
  <si>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</si>
  <si>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</si>
  <si>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</si>
  <si>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</si>
  <si>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</si>
  <si>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</si>
  <si>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</si>
  <si>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</si>
  <si>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</si>
  <si>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</si>
  <si>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</si>
  <si>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</si>
  <si>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</si>
  <si>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</si>
  <si>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</si>
  <si>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</si>
  <si>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</si>
  <si>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</si>
  <si>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</si>
  <si>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</si>
  <si>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</si>
  <si>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</si>
  <si>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</si>
  <si>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</si>
  <si>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</si>
  <si>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</si>
  <si>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</si>
  <si>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</si>
  <si>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</si>
  <si>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</si>
  <si>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</si>
  <si>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</si>
  <si>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</si>
  <si>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</si>
  <si>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</si>
  <si>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</si>
  <si>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</si>
  <si>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</si>
  <si>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</si>
  <si>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</si>
  <si>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</si>
  <si>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</si>
  <si>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</si>
  <si>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</si>
  <si>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</si>
  <si>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</si>
  <si>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</si>
  <si>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</si>
  <si>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</si>
  <si>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</si>
  <si>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</si>
  <si>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</si>
  <si>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</si>
  <si>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</si>
  <si>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</si>
  <si>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</si>
  <si>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</si>
  <si>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</si>
  <si>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</si>
  <si>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</si>
  <si>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</si>
  <si>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</si>
  <si>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</si>
  <si>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</si>
  <si>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</si>
  <si>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</si>
  <si>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</si>
  <si>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</si>
  <si>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</si>
  <si>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</si>
  <si>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</si>
  <si>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</si>
  <si>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</si>
  <si>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</si>
  <si>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</si>
  <si>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</si>
  <si>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</si>
  <si>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</si>
  <si>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</si>
  <si>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</si>
  <si>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</si>
  <si>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</si>
  <si>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</si>
  <si>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</si>
  <si>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</si>
  <si>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</si>
  <si>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</si>
  <si>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</si>
  <si>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</si>
  <si>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</si>
  <si>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</si>
  <si>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</si>
  <si>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</si>
  <si>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</si>
  <si>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</si>
  <si>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</si>
  <si>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</si>
  <si>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</si>
  <si>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</si>
  <si>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</si>
  <si>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</si>
  <si>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</si>
  <si>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</si>
  <si>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</si>
  <si>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</si>
  <si>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</si>
  <si>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</si>
  <si>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</si>
  <si>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</si>
  <si>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</si>
  <si>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</si>
  <si>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</si>
  <si>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</si>
  <si>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</si>
  <si>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</si>
  <si>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</si>
  <si>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</si>
  <si>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</si>
  <si>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</si>
  <si>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</si>
  <si>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</si>
  <si>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</si>
  <si>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</si>
  <si>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</si>
  <si>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</si>
  <si>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</si>
  <si>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</si>
  <si>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</si>
  <si>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</si>
  <si>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</si>
  <si>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</si>
  <si>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</si>
  <si>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</si>
  <si>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</si>
  <si>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</si>
  <si>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</si>
  <si>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</si>
  <si>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</si>
  <si>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</si>
  <si>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</si>
  <si>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</si>
  <si>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</si>
  <si>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</si>
  <si>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</si>
  <si>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</si>
  <si>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</si>
  <si>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</si>
  <si>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</si>
  <si>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</si>
  <si>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</si>
  <si>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</si>
  <si>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</si>
  <si>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</si>
  <si>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</si>
  <si>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</si>
  <si>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</si>
  <si>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</si>
  <si>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</si>
  <si>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</si>
  <si>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</si>
  <si>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</si>
  <si>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</si>
  <si>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</si>
  <si>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</si>
  <si>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</si>
  <si>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</si>
  <si>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</si>
  <si>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</si>
  <si>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</si>
  <si>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</si>
  <si>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</si>
  <si>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</si>
  <si>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</si>
  <si>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</si>
  <si>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</si>
  <si>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</si>
  <si>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</si>
  <si>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</si>
  <si>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</si>
  <si>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</si>
  <si>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</si>
  <si>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</si>
  <si>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</si>
  <si>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</si>
  <si>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</si>
  <si>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</si>
  <si>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</si>
  <si>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</si>
  <si>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</si>
  <si>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</si>
  <si>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</si>
  <si>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</si>
  <si>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</si>
  <si>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</si>
  <si>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</si>
  <si>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</si>
  <si>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</si>
  <si>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</si>
  <si>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</si>
  <si>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</si>
  <si>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</si>
  <si>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</si>
  <si>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</si>
  <si>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</si>
  <si>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</si>
  <si>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</si>
  <si>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</si>
  <si>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</si>
  <si>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</si>
  <si>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</si>
  <si>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</si>
  <si>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</si>
  <si>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</si>
  <si>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</si>
  <si>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</si>
  <si>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</si>
  <si>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</si>
  <si>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</si>
  <si>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</si>
  <si>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</si>
  <si>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</si>
  <si>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</si>
  <si>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</si>
  <si>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</si>
  <si>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</si>
  <si>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</si>
  <si>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</si>
  <si>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</si>
  <si>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</si>
  <si>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</si>
  <si>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</si>
  <si>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</si>
  <si>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</si>
  <si>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</si>
  <si>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</si>
  <si>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</si>
  <si>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</si>
  <si>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</si>
  <si>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</si>
  <si>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</si>
  <si>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</si>
  <si>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</si>
  <si>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</si>
  <si>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</si>
  <si>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</si>
  <si>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</si>
  <si>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</si>
  <si>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</si>
  <si>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</si>
  <si>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</si>
  <si>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</si>
  <si>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</si>
  <si>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</si>
  <si>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</si>
  <si>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</si>
  <si>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</si>
  <si>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</si>
  <si>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</si>
  <si>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</si>
  <si>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</si>
  <si>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</si>
  <si>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</si>
  <si>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</si>
  <si>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</si>
  <si>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</si>
  <si>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</si>
  <si>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</si>
  <si>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</si>
  <si>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</si>
  <si>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</si>
  <si>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</si>
  <si>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</si>
  <si>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</si>
  <si>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</si>
  <si>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</si>
  <si>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</si>
  <si>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</si>
  <si>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</si>
  <si>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</si>
  <si>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</si>
  <si>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</si>
  <si>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</si>
  <si>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</si>
  <si>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</si>
  <si>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</si>
  <si>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</si>
  <si>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</si>
  <si>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</si>
  <si>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</si>
  <si>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</si>
  <si>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</si>
  <si>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</si>
  <si>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</si>
  <si>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</si>
  <si>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</si>
  <si>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</si>
  <si>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</si>
  <si>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</si>
  <si>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</si>
  <si>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</si>
  <si>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</si>
  <si>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</si>
  <si>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</si>
  <si>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</si>
  <si>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</si>
  <si>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</si>
  <si>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</si>
  <si>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</si>
  <si>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</si>
  <si>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</si>
  <si>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</si>
  <si>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</si>
  <si>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</si>
  <si>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</si>
  <si>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</si>
  <si>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</si>
  <si>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</si>
  <si>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</si>
  <si>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</si>
  <si>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</si>
  <si>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</si>
  <si>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</si>
  <si>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</si>
  <si>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</si>
  <si>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</si>
  <si>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</si>
  <si>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</si>
  <si>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</si>
  <si>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</si>
  <si>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</si>
  <si>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</si>
  <si>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</si>
  <si>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</si>
  <si>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</si>
  <si>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</si>
  <si>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</si>
  <si>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</si>
  <si>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</si>
  <si>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</si>
  <si>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</si>
  <si>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</si>
  <si>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</si>
  <si>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</si>
  <si>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</si>
  <si>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</si>
  <si>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</si>
  <si>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</si>
  <si>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</si>
  <si>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</si>
  <si>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</si>
  <si>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</si>
  <si>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</si>
  <si>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</si>
  <si>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</si>
  <si>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</si>
  <si>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</si>
  <si>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</si>
  <si>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</si>
  <si>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</si>
  <si>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</si>
  <si>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</si>
  <si>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</si>
  <si>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</si>
  <si>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</si>
  <si>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</si>
  <si>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</si>
  <si>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</si>
  <si>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</si>
  <si>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</si>
  <si>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</si>
  <si>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</si>
  <si>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</si>
  <si>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</si>
  <si>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</si>
  <si>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</si>
  <si>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</si>
  <si>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</si>
  <si>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</si>
  <si>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</si>
  <si>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</si>
  <si>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</si>
  <si>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</si>
  <si>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</si>
  <si>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</si>
  <si>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</si>
  <si>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</si>
  <si>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</si>
  <si>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</si>
  <si>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</si>
  <si>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</si>
  <si>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</si>
  <si>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</si>
  <si>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</si>
  <si>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</si>
  <si>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</si>
  <si>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</si>
  <si>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</si>
  <si>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</si>
  <si>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</si>
  <si>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</si>
  <si>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</si>
  <si>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</si>
  <si>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</si>
  <si>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</si>
  <si>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</si>
  <si>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</si>
  <si>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</si>
  <si>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</si>
  <si>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</si>
  <si>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</si>
  <si>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</si>
  <si>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</si>
  <si>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</si>
  <si>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</si>
  <si>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</si>
  <si>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</si>
  <si>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</si>
  <si>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</si>
  <si>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</si>
  <si>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</si>
  <si>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</si>
  <si>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</si>
  <si>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</si>
  <si>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</si>
  <si>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</si>
  <si>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</si>
  <si>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</si>
  <si>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</si>
  <si>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</si>
  <si>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</si>
  <si>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</si>
  <si>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</si>
  <si>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</si>
  <si>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</si>
  <si>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</si>
  <si>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</si>
  <si>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</si>
  <si>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</si>
  <si>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</si>
  <si>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</si>
  <si>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</si>
  <si>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</si>
  <si>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</si>
  <si>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</si>
  <si>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</si>
  <si>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</si>
  <si>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</si>
  <si>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</si>
  <si>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</si>
  <si>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</si>
  <si>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</si>
  <si>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</si>
  <si>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</si>
  <si>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</si>
  <si>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</si>
  <si>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</si>
  <si>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</si>
  <si>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</si>
  <si>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</si>
  <si>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</si>
  <si>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</si>
  <si>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</si>
  <si>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</si>
  <si>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</si>
  <si>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</si>
  <si>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</si>
  <si>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</si>
  <si>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</si>
  <si>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</si>
  <si>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</si>
  <si>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</si>
  <si>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</si>
  <si>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</si>
  <si>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</si>
  <si>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</si>
  <si>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</si>
  <si>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</si>
  <si>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</si>
  <si>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</si>
  <si>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</si>
  <si>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</si>
  <si>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</si>
  <si>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</si>
  <si>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</si>
  <si>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</si>
  <si>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</si>
  <si>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</si>
  <si>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</si>
  <si>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</si>
  <si>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</si>
  <si>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</si>
  <si>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</si>
  <si>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</si>
  <si>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</si>
  <si>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</si>
  <si>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</si>
  <si>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</si>
  <si>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</si>
  <si>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</si>
  <si>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</si>
  <si>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</si>
  <si>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</si>
  <si>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</si>
  <si>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</si>
  <si>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</si>
  <si>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</si>
  <si>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</si>
  <si>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</si>
  <si>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</si>
  <si>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</si>
  <si>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</si>
  <si>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</si>
  <si>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</si>
  <si>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</si>
  <si>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</si>
  <si>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</si>
  <si>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</si>
  <si>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</si>
  <si>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</si>
  <si>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</si>
  <si>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</si>
  <si>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</si>
  <si>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</si>
  <si>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</si>
  <si>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</si>
  <si>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</si>
  <si>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</si>
  <si>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</si>
  <si>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</si>
  <si>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</si>
  <si>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</si>
  <si>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</si>
  <si>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</si>
  <si>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</si>
  <si>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</si>
  <si>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</si>
  <si>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</si>
  <si>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</si>
  <si>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</si>
  <si>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</si>
  <si>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</si>
  <si>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</si>
  <si>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</si>
  <si>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</si>
  <si>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</si>
  <si>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</si>
  <si>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</si>
  <si>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</si>
  <si>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</si>
  <si>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</si>
  <si>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</si>
  <si>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</si>
  <si>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</si>
  <si>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</si>
  <si>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</si>
  <si>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</si>
  <si>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</si>
  <si>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</si>
  <si>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</si>
  <si>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</si>
  <si>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</si>
  <si>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</si>
  <si>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</si>
  <si>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</si>
  <si>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</si>
  <si>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</si>
  <si>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</si>
  <si>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</si>
  <si>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</si>
  <si>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</si>
  <si>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</si>
  <si>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</si>
  <si>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</si>
  <si>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</si>
  <si>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</si>
  <si>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</si>
  <si>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</si>
  <si>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</si>
  <si>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</si>
  <si>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</si>
  <si>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</si>
  <si>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</si>
  <si>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</si>
  <si>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</si>
  <si>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</si>
  <si>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</si>
  <si>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</si>
  <si>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</si>
  <si>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</si>
  <si>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</si>
  <si>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</si>
  <si>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</si>
  <si>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</si>
  <si>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</si>
  <si>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</si>
  <si>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</si>
  <si>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</si>
  <si>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</si>
  <si>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</si>
  <si>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</si>
  <si>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</si>
  <si>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</si>
  <si>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</si>
  <si>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</si>
  <si>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</si>
  <si>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</si>
  <si>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</si>
  <si>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</si>
  <si>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</si>
  <si>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</si>
  <si>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</si>
  <si>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</si>
  <si>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</si>
  <si>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</si>
  <si>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</si>
  <si>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</si>
  <si>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</si>
  <si>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</si>
  <si>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</si>
  <si>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</si>
  <si>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</si>
  <si>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</si>
  <si>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</si>
  <si>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</si>
  <si>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</si>
  <si>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</si>
  <si>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</si>
  <si>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</si>
  <si>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</si>
  <si>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</si>
  <si>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</si>
  <si>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</si>
  <si>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</si>
  <si>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</si>
  <si>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</si>
  <si>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</si>
  <si>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</si>
  <si>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</si>
  <si>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</si>
  <si>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</si>
  <si>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</si>
  <si>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</si>
  <si>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</si>
  <si>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</si>
  <si>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</si>
  <si>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</si>
  <si>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</si>
  <si>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</si>
  <si>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</si>
  <si>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</si>
  <si>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</si>
  <si>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</si>
  <si>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</si>
  <si>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</si>
  <si>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</si>
  <si>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</si>
  <si>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</si>
  <si>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</si>
  <si>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</si>
  <si>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</si>
  <si>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</si>
  <si>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</si>
  <si>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</si>
  <si>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</si>
  <si>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</si>
  <si>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</si>
  <si>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</si>
  <si>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</si>
  <si>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</si>
  <si>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</si>
  <si>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</si>
  <si>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</si>
  <si>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</si>
  <si>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</si>
  <si>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</si>
  <si>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</si>
  <si>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</si>
  <si>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</si>
  <si>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</si>
  <si>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</si>
  <si>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</si>
  <si>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</si>
  <si>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</si>
  <si>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</si>
  <si>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</si>
  <si>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</si>
  <si>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</si>
  <si>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</si>
  <si>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</si>
  <si>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</si>
  <si>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</si>
  <si>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</si>
  <si>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</si>
  <si>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</si>
  <si>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</si>
  <si>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</si>
  <si>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</si>
  <si>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</si>
  <si>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</si>
  <si>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</si>
  <si>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</si>
  <si>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</si>
  <si>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</si>
  <si>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</si>
  <si>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</si>
  <si>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</si>
  <si>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</si>
  <si>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</si>
  <si>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</si>
  <si>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</si>
  <si>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</si>
  <si>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</si>
  <si>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</si>
  <si>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</si>
  <si>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</si>
  <si>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</si>
  <si>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</si>
  <si>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</si>
  <si>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</si>
  <si>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</si>
  <si>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</si>
  <si>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</si>
  <si>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</si>
  <si>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</si>
  <si>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</si>
  <si>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</si>
  <si>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</si>
  <si>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</si>
  <si>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</si>
  <si>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</si>
  <si>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</si>
  <si>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</si>
  <si>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</si>
  <si>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</si>
  <si>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</si>
  <si>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</si>
  <si>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</si>
  <si>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</si>
  <si>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</si>
  <si>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</si>
  <si>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</si>
  <si>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</si>
  <si>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</si>
  <si>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</si>
  <si>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</si>
  <si>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</si>
  <si>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</si>
  <si>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</si>
  <si>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</si>
  <si>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</si>
  <si>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</si>
  <si>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</si>
  <si>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</si>
  <si>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</si>
  <si>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</si>
  <si>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</si>
  <si>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</si>
  <si>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</si>
  <si>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</si>
  <si>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</si>
  <si>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</si>
  <si>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</si>
  <si>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</si>
  <si>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</si>
  <si>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</si>
  <si>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</si>
  <si>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</si>
  <si>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</si>
  <si>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</si>
  <si>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</si>
  <si>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</si>
  <si>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</si>
  <si>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</si>
  <si>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</si>
  <si>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</si>
  <si>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</si>
  <si>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</si>
  <si>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</si>
  <si>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</si>
  <si>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</si>
  <si>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</si>
  <si>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</si>
  <si>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</si>
  <si>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</si>
  <si>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</si>
  <si>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</si>
  <si>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</si>
  <si>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</si>
  <si>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</si>
  <si>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</si>
  <si>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</si>
  <si>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</si>
  <si>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</si>
  <si>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</si>
  <si>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</si>
  <si>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</si>
  <si>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</si>
  <si>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</si>
  <si>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</si>
  <si>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</si>
  <si>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</si>
  <si>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</si>
  <si>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</si>
  <si>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</si>
  <si>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</si>
  <si>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</si>
  <si>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</si>
  <si>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</si>
  <si>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</si>
  <si>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</si>
  <si>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</si>
  <si>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</si>
  <si>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</si>
  <si>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</si>
  <si>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</si>
  <si>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</si>
  <si>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</si>
  <si>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</si>
  <si>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</si>
  <si>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</si>
  <si>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</si>
  <si>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</si>
  <si>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</si>
  <si>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</si>
  <si>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</si>
  <si>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</si>
  <si>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</si>
  <si>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</si>
  <si>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</si>
  <si>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</si>
  <si>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</si>
  <si>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</si>
  <si>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</si>
  <si>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</si>
  <si>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</si>
  <si>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</si>
  <si>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</si>
  <si>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</si>
  <si>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</si>
  <si>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</si>
  <si>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</si>
  <si>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</si>
  <si>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</si>
  <si>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</si>
  <si>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</si>
  <si>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</si>
  <si>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</si>
  <si>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</si>
  <si>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</si>
  <si>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</si>
  <si>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</si>
  <si>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</si>
  <si>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</si>
  <si>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</si>
  <si>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</si>
  <si>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</si>
  <si>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</si>
  <si>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</si>
  <si>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</si>
  <si>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</si>
  <si>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</si>
  <si>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</si>
  <si>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</si>
  <si>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</si>
  <si>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</si>
  <si>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</si>
  <si>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</si>
  <si>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</si>
  <si>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</si>
  <si>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</si>
  <si>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</si>
  <si>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</si>
  <si>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</si>
  <si>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</si>
  <si>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</si>
  <si>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</si>
  <si>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</si>
  <si>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</si>
  <si>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</si>
  <si>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</si>
  <si>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</si>
  <si>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</si>
  <si>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</si>
  <si>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</si>
  <si>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</si>
  <si>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</si>
  <si>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</si>
  <si>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</si>
  <si>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</si>
  <si>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</si>
  <si>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</si>
  <si>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</si>
  <si>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</si>
  <si>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</si>
  <si>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</si>
  <si>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</si>
  <si>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</si>
  <si>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</si>
  <si>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</si>
  <si>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</si>
  <si>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</si>
  <si>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</si>
  <si>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</si>
  <si>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</si>
  <si>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</si>
  <si>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</si>
  <si>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</si>
  <si>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</si>
  <si>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</si>
  <si>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</si>
  <si>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</si>
  <si>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</si>
  <si>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</si>
  <si>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</si>
  <si>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</si>
  <si>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</si>
  <si>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</si>
  <si>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</si>
  <si>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</si>
  <si>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</si>
  <si>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</si>
  <si>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</si>
  <si>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</si>
  <si>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</si>
  <si>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</si>
  <si>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</si>
  <si>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</si>
  <si>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</si>
  <si>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</si>
  <si>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</si>
  <si>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</si>
  <si>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</si>
  <si>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</si>
  <si>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</si>
  <si>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</si>
  <si>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</si>
  <si>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</si>
  <si>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</si>
  <si>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</si>
  <si>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</si>
  <si>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</si>
  <si>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</si>
  <si>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</si>
  <si>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</si>
  <si>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</si>
  <si>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</si>
  <si>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</si>
  <si>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</si>
  <si>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</si>
  <si>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</si>
  <si>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</si>
  <si>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</si>
  <si>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</si>
  <si>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</si>
  <si>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</si>
  <si>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</si>
  <si>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</si>
  <si>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</si>
  <si>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</si>
  <si>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</si>
  <si>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</si>
  <si>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</si>
  <si>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</si>
  <si>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</si>
  <si>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</si>
  <si>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</si>
  <si>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</si>
  <si>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</si>
  <si>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</si>
  <si>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</si>
  <si>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</si>
  <si>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</si>
  <si>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</si>
  <si>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</si>
  <si>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</si>
  <si>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</si>
  <si>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</si>
  <si>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</si>
  <si>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</si>
  <si>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</si>
  <si>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</si>
  <si>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</si>
  <si>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</si>
  <si>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</si>
  <si>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</si>
  <si>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</si>
  <si>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</si>
  <si>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</si>
  <si>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</si>
  <si>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</si>
  <si>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</si>
  <si>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</si>
  <si>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</si>
  <si>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</si>
  <si>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</si>
  <si>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</si>
  <si>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</si>
  <si>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</si>
  <si>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</si>
  <si>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</si>
  <si>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</si>
  <si>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</si>
  <si>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</si>
  <si>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</si>
  <si>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</si>
  <si>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</si>
  <si>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</si>
  <si>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</si>
  <si>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</si>
  <si>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</si>
  <si>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</si>
  <si>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</si>
  <si>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</si>
  <si>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</si>
  <si>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</si>
  <si>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</si>
  <si>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</si>
  <si>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</si>
  <si>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</si>
  <si>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</si>
  <si>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</si>
  <si>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</si>
  <si>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</si>
  <si>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</si>
  <si>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</si>
  <si>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</si>
  <si>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</si>
  <si>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</si>
  <si>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</si>
  <si>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</si>
  <si>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</si>
  <si>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</si>
  <si>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</si>
  <si>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</si>
  <si>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</si>
  <si>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</si>
  <si>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</si>
  <si>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</si>
  <si>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</si>
  <si>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</si>
  <si>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</si>
  <si>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</si>
  <si>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</si>
  <si>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</si>
  <si>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</si>
  <si>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</si>
  <si>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</si>
  <si>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</si>
  <si>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</si>
  <si>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</si>
  <si>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</si>
  <si>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</si>
  <si>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</si>
  <si>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</si>
  <si>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</si>
  <si>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</si>
  <si>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</si>
  <si>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</si>
  <si>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</si>
  <si>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</si>
  <si>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</si>
  <si>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</si>
  <si>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</si>
  <si>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</si>
  <si>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</si>
  <si>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</si>
  <si>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</si>
  <si>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</si>
  <si>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</si>
  <si>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</si>
  <si>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</si>
  <si>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</si>
  <si>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</si>
  <si>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</si>
  <si>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</si>
  <si>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</si>
  <si>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</si>
  <si>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</si>
  <si>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</si>
  <si>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</si>
  <si>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</si>
  <si>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</si>
  <si>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</si>
  <si>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</si>
  <si>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</si>
  <si>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</si>
  <si>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</si>
  <si>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</si>
  <si>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</si>
  <si>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</si>
  <si>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</si>
  <si>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</si>
  <si>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</si>
  <si>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</si>
  <si>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</si>
  <si>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</si>
  <si>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</si>
  <si>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</si>
  <si>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</si>
  <si>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</si>
  <si>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</si>
  <si>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</si>
  <si>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</si>
  <si>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</si>
  <si>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</si>
  <si>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</si>
  <si>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</si>
  <si>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</si>
  <si>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</si>
  <si>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</si>
  <si>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</si>
  <si>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</si>
  <si>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</si>
  <si>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</si>
  <si>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</si>
  <si>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</si>
  <si>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</si>
  <si>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</si>
  <si>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</si>
  <si>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</si>
  <si>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</si>
  <si>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</si>
  <si>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</si>
  <si>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</si>
  <si>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</si>
  <si>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</si>
  <si>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</si>
  <si>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</si>
  <si>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</si>
  <si>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</si>
  <si>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</si>
  <si>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</si>
  <si>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</si>
  <si>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</si>
  <si>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</si>
  <si>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</si>
  <si>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</si>
  <si>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</si>
  <si>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</si>
  <si>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</si>
  <si>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</si>
  <si>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</si>
  <si>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</si>
  <si>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</si>
  <si>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</si>
  <si>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</si>
  <si>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</si>
  <si>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</si>
  <si>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</si>
  <si>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</si>
  <si>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</si>
  <si>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</si>
  <si>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</si>
  <si>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</si>
  <si>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</si>
  <si>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</si>
  <si>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</si>
  <si>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</si>
  <si>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</si>
  <si>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</si>
  <si>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</si>
  <si>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</si>
  <si>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</si>
  <si>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</si>
  <si>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</si>
  <si>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</si>
  <si>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</si>
  <si>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</si>
  <si>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</si>
  <si>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</si>
  <si>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</si>
  <si>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</si>
  <si>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</si>
  <si>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</si>
  <si>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</si>
  <si>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</si>
  <si>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</si>
  <si>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</si>
  <si>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</si>
  <si>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</si>
  <si>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</si>
  <si>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</si>
  <si>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</si>
  <si>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</si>
  <si>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</si>
  <si>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</si>
  <si>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</si>
  <si>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</si>
  <si>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</si>
  <si>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</si>
  <si>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</si>
  <si>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</si>
  <si>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</si>
  <si>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</si>
  <si>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</si>
  <si>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</si>
  <si>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</si>
  <si>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</si>
  <si>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</si>
  <si>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</si>
  <si>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</si>
  <si>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</si>
  <si>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</si>
  <si>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</si>
  <si>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</si>
  <si>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</si>
  <si>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</si>
  <si>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</si>
  <si>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</si>
  <si>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</si>
  <si>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</si>
  <si>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</si>
  <si>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</si>
  <si>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</si>
  <si>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</si>
  <si>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</si>
  <si>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</si>
  <si>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</si>
  <si>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</si>
  <si>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</si>
  <si>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</si>
  <si>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</si>
  <si>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</si>
  <si>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</si>
  <si>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</si>
  <si>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</si>
  <si>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</si>
  <si>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</si>
  <si>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</si>
  <si>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</si>
  <si>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</si>
  <si>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</si>
  <si>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</si>
  <si>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</si>
  <si>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</si>
  <si>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</si>
  <si>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</si>
  <si>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</si>
  <si>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</si>
  <si>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</si>
  <si>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</si>
  <si>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</si>
  <si>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</si>
  <si>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</si>
  <si>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</si>
  <si>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</si>
  <si>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</si>
  <si>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</si>
  <si>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</si>
  <si>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</si>
  <si>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</si>
  <si>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</si>
  <si>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</si>
  <si>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</si>
  <si>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</si>
  <si>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</si>
  <si>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</si>
  <si>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</si>
  <si>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</si>
  <si>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</si>
  <si>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</si>
  <si>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</si>
  <si>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</si>
  <si>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</si>
  <si>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</si>
  <si>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</si>
  <si>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</si>
  <si>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</si>
  <si>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</si>
  <si>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</si>
  <si>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</si>
  <si>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</si>
  <si>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</si>
  <si>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</si>
  <si>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</si>
  <si>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</si>
  <si>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</si>
  <si>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</si>
  <si>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</si>
  <si>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</si>
  <si>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</si>
  <si>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</si>
  <si>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</si>
  <si>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</si>
  <si>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</si>
  <si>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</si>
  <si>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</si>
  <si>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</si>
  <si>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</si>
  <si>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</si>
  <si>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</si>
  <si>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</si>
  <si>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</si>
  <si>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</si>
  <si>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</si>
  <si>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</si>
  <si>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</si>
  <si>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</si>
  <si>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</si>
  <si>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</si>
  <si>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</si>
  <si>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</si>
  <si>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</si>
  <si>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</si>
  <si>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</si>
  <si>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</si>
  <si>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</si>
  <si>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</si>
  <si>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</si>
  <si>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</si>
  <si>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</si>
  <si>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</si>
  <si>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</si>
  <si>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</si>
  <si>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</si>
  <si>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</si>
  <si>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</si>
  <si>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</si>
  <si>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</si>
  <si>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</si>
  <si>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</si>
  <si>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</si>
  <si>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</si>
  <si>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</si>
  <si>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</si>
  <si>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</si>
  <si>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</si>
  <si>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</si>
  <si>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</si>
  <si>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</si>
  <si>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</si>
  <si>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</si>
  <si>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</si>
  <si>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</si>
  <si>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</si>
  <si>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</si>
  <si>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</si>
  <si>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</si>
  <si>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</si>
  <si>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</si>
  <si>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</si>
  <si>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</si>
  <si>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</si>
  <si>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</si>
  <si>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</si>
  <si>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</si>
  <si>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</si>
  <si>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</si>
  <si>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</si>
  <si>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</si>
  <si>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</si>
  <si>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</si>
  <si>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</si>
  <si>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</si>
  <si>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</si>
  <si>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</si>
  <si>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</si>
  <si>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</si>
  <si>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</si>
  <si>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</si>
  <si>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</si>
  <si>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</si>
  <si>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</si>
  <si>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</si>
  <si>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</si>
  <si>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</si>
  <si>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</si>
  <si>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</si>
  <si>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</si>
  <si>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</si>
  <si>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</si>
  <si>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</si>
  <si>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</si>
  <si>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</si>
  <si>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</si>
  <si>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</si>
  <si>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</si>
  <si>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</si>
  <si>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</si>
  <si>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</si>
  <si>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</si>
  <si>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</si>
  <si>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</si>
  <si>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</si>
  <si>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</si>
  <si>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</si>
  <si>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</si>
  <si>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</si>
  <si>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</si>
  <si>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</si>
  <si>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</si>
  <si>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</si>
  <si>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</si>
  <si>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</si>
  <si>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</si>
  <si>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</si>
  <si>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</si>
  <si>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</si>
  <si>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</si>
  <si>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</si>
  <si>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</si>
  <si>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</si>
  <si>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</si>
  <si>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</si>
  <si>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</si>
  <si>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</si>
  <si>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</si>
  <si>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</si>
  <si>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</si>
  <si>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</si>
  <si>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</si>
  <si>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</si>
  <si>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</si>
  <si>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</si>
  <si>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</si>
  <si>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</si>
  <si>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</si>
  <si>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</si>
  <si>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</si>
  <si>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</si>
  <si>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</si>
  <si>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</si>
  <si>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</si>
  <si>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</si>
  <si>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</si>
  <si>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</si>
  <si>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</si>
  <si>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</si>
  <si>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</si>
  <si>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</si>
  <si>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</si>
  <si>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</si>
  <si>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</si>
  <si>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</si>
  <si>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</si>
  <si>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</si>
  <si>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</si>
  <si>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</si>
  <si>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</si>
  <si>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</si>
  <si>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</si>
  <si>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</si>
  <si>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</si>
  <si>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</si>
  <si>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</si>
  <si>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</si>
  <si>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</si>
  <si>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</si>
  <si>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</si>
  <si>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</si>
  <si>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</si>
  <si>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</si>
  <si>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</si>
  <si>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</si>
  <si>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</si>
  <si>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</si>
  <si>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</si>
  <si>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</si>
  <si>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</si>
  <si>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</si>
  <si>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</si>
  <si>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</si>
  <si>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</si>
  <si>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</si>
  <si>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</si>
  <si>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</si>
  <si>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</si>
  <si>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</si>
  <si>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</si>
  <si>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</si>
  <si>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</si>
  <si>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</si>
  <si>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</si>
  <si>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</si>
  <si>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</si>
  <si>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</si>
  <si>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</si>
  <si>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</si>
  <si>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</si>
  <si>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</si>
  <si>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</si>
  <si>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</si>
  <si>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</si>
  <si>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</si>
  <si>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</si>
  <si>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</si>
  <si>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</si>
  <si>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</si>
  <si>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</si>
  <si>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</si>
  <si>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</si>
  <si>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</si>
  <si>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</si>
  <si>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</si>
  <si>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</si>
  <si>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</si>
  <si>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</si>
  <si>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</si>
  <si>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</si>
  <si>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</si>
  <si>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</si>
  <si>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</si>
  <si>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</si>
  <si>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</si>
  <si>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</si>
  <si>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</si>
  <si>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</si>
  <si>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</si>
  <si>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</si>
  <si>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</si>
  <si>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</si>
  <si>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</si>
  <si>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</si>
  <si>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</si>
  <si>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</si>
  <si>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</si>
  <si>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</si>
  <si>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</si>
  <si>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</si>
  <si>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</si>
  <si>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</si>
  <si>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</si>
  <si>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</si>
  <si>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</si>
  <si>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</si>
  <si>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</si>
  <si>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</si>
  <si>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</si>
  <si>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</si>
  <si>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</si>
  <si>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</si>
  <si>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</si>
  <si>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</si>
  <si>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</si>
  <si>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</si>
  <si>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</si>
  <si>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</si>
  <si>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</si>
  <si>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</si>
  <si>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</si>
  <si>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</si>
  <si>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</si>
  <si>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</si>
  <si>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</si>
  <si>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</si>
  <si>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</si>
  <si>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</si>
  <si>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</si>
  <si>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</si>
  <si>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</si>
  <si>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</si>
  <si>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</si>
  <si>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</si>
  <si>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</si>
  <si>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</si>
  <si>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</si>
  <si>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</si>
  <si>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</si>
  <si>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</si>
  <si>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</si>
  <si>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</si>
  <si>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</si>
  <si>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</si>
  <si>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</si>
  <si>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</si>
  <si>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</si>
  <si>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</si>
  <si>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</si>
  <si>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</si>
  <si>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</si>
  <si>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</si>
  <si>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</si>
  <si>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</si>
  <si>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</si>
  <si>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</si>
  <si>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</si>
  <si>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</si>
  <si>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</si>
  <si>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</si>
  <si>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</si>
  <si>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</si>
  <si>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</si>
  <si>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</si>
  <si>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</si>
  <si>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</si>
  <si>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</si>
  <si>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</si>
  <si>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</si>
  <si>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</si>
  <si>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</si>
  <si>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</si>
  <si>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</si>
  <si>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</si>
  <si>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</si>
  <si>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</si>
  <si>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</si>
  <si>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</si>
  <si>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</si>
  <si>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</si>
  <si>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</si>
  <si>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</si>
  <si>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</si>
  <si>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</si>
  <si>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</si>
  <si>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</si>
  <si>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</si>
  <si>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</si>
  <si>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</si>
  <si>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</si>
  <si>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</si>
  <si>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</si>
  <si>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</si>
  <si>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</si>
  <si>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</si>
  <si>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</si>
  <si>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</si>
  <si>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</si>
  <si>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</si>
  <si>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</si>
  <si>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</si>
  <si>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</si>
  <si>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</si>
  <si>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</si>
  <si>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</si>
  <si>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</si>
  <si>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</si>
  <si>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</si>
  <si>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</si>
  <si>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</si>
  <si>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</si>
  <si>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</si>
  <si>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</si>
  <si>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</si>
  <si>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</si>
  <si>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</si>
  <si>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</si>
  <si>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</si>
  <si>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</si>
  <si>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</si>
  <si>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</si>
  <si>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</si>
  <si>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</si>
  <si>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</si>
  <si>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</si>
  <si>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</si>
  <si>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</si>
  <si>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</si>
  <si>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</si>
  <si>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</si>
  <si>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</si>
  <si>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</si>
  <si>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</si>
  <si>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</si>
  <si>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</si>
  <si>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</si>
  <si>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</si>
  <si>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</si>
  <si>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</si>
  <si>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</si>
  <si>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</si>
  <si>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</si>
  <si>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</si>
  <si>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</si>
  <si>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</si>
  <si>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</si>
  <si>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</si>
  <si>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</si>
  <si>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</si>
  <si>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</si>
  <si>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</si>
  <si>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</si>
  <si>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</si>
  <si>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</si>
  <si>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</si>
  <si>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</si>
  <si>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</si>
  <si>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</si>
  <si>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</si>
  <si>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</si>
  <si>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</si>
  <si>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</si>
  <si>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</si>
  <si>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</si>
  <si>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</si>
  <si>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</si>
  <si>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</si>
  <si>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</si>
  <si>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</si>
  <si>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</si>
  <si>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</si>
  <si>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</si>
  <si>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</si>
  <si>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</si>
  <si>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</si>
  <si>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</si>
  <si>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</si>
  <si>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</si>
  <si>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</si>
  <si>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</si>
  <si>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</si>
  <si>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</si>
  <si>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</si>
  <si>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</si>
  <si>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</si>
  <si>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</si>
  <si>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</si>
  <si>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</si>
  <si>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</si>
  <si>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</si>
  <si>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</si>
  <si>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</si>
  <si>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</si>
  <si>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</si>
  <si>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</si>
  <si>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</si>
  <si>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</si>
  <si>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</si>
  <si>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</si>
  <si>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</si>
  <si>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</si>
  <si>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</si>
  <si>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</si>
  <si>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</si>
  <si>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</si>
  <si>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</si>
  <si>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</si>
  <si>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</si>
  <si>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</si>
  <si>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</si>
  <si>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</si>
  <si>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</si>
  <si>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</si>
  <si>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</si>
  <si>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</si>
  <si>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</si>
  <si>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</si>
  <si>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</si>
  <si>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</si>
  <si>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</si>
  <si>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</si>
  <si>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</si>
  <si>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</si>
  <si>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</si>
  <si>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</si>
  <si>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</si>
  <si>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</si>
  <si>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</si>
  <si>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</si>
  <si>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</si>
  <si>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</si>
  <si>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</si>
  <si>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</si>
  <si>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</si>
  <si>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</si>
  <si>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</si>
  <si>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</si>
  <si>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</si>
  <si>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</si>
  <si>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</si>
  <si>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</si>
  <si>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</si>
  <si>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</si>
  <si>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</si>
  <si>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</si>
  <si>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</si>
  <si>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</si>
  <si>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</si>
  <si>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</si>
  <si>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</si>
  <si>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</si>
  <si>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</si>
  <si>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</si>
  <si>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</si>
  <si>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</si>
  <si>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</si>
  <si>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</si>
  <si>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</si>
  <si>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</si>
  <si>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</si>
  <si>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</si>
  <si>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</si>
  <si>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</si>
  <si>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</si>
  <si>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</si>
  <si>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</si>
  <si>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</si>
  <si>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</si>
  <si>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</si>
  <si>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</si>
  <si>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</si>
  <si>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</si>
  <si>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</si>
  <si>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</si>
  <si>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</si>
  <si>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</si>
  <si>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</si>
  <si>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</si>
  <si>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</si>
  <si>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</si>
  <si>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</si>
  <si>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</si>
  <si>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</si>
  <si>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</si>
  <si>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</si>
  <si>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</si>
  <si>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</si>
  <si>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</si>
  <si>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</si>
  <si>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</si>
  <si>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</si>
  <si>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</si>
  <si>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</si>
  <si>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</si>
  <si>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</si>
  <si>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</si>
  <si>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</si>
  <si>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</si>
  <si>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</si>
  <si>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</si>
  <si>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</si>
  <si>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</si>
  <si>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</si>
  <si>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</si>
  <si>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</si>
  <si>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</si>
  <si>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</si>
  <si>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</si>
  <si>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</si>
  <si>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</si>
  <si>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</si>
  <si>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</si>
  <si>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</si>
  <si>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</si>
  <si>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</si>
  <si>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</si>
  <si>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</si>
  <si>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</si>
  <si>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</si>
  <si>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</si>
  <si>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</si>
  <si>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</si>
  <si>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</si>
  <si>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</si>
  <si>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</si>
  <si>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</si>
  <si>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</si>
  <si>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</si>
  <si>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</si>
  <si>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</si>
  <si>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</si>
  <si>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</si>
  <si>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</si>
  <si>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</si>
  <si>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</si>
  <si>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</si>
  <si>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</si>
  <si>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</si>
  <si>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</si>
  <si>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</si>
  <si>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</si>
  <si>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</si>
  <si>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</si>
  <si>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</si>
  <si>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</si>
  <si>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</si>
  <si>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</si>
  <si>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</si>
  <si>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</si>
  <si>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</si>
  <si>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</si>
  <si>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</si>
  <si>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</si>
  <si>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</si>
  <si>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</si>
  <si>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</si>
  <si>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</si>
  <si>
    <t>23/3/1400</t>
  </si>
  <si>
    <t>وغدیر 10000 تا 1028</t>
  </si>
  <si>
    <t>پارسان 4780 تا 1862</t>
  </si>
  <si>
    <t>26/3/1400</t>
  </si>
  <si>
    <t>وغدیر 3497 تا 1036</t>
  </si>
  <si>
    <t>29/3/1400</t>
  </si>
  <si>
    <t>ومهان 845 تا 1212</t>
  </si>
  <si>
    <t>وغدیر 154000 تا 1028</t>
  </si>
  <si>
    <t>علی واریز 58.2 و نوسانگیری</t>
  </si>
  <si>
    <t>a48899660-357315420*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</si>
</sst>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Q16" sqref="Q16"/>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hidden="1" customWidth="1"/>
    <col min="8" max="8" width="23.140625" hidden="1" customWidth="1"/>
    <col min="9" max="9" width="28.42578125" hidden="1" customWidth="1"/>
    <col min="10" max="10" width="13.7109375" hidden="1" customWidth="1"/>
    <col min="11" max="11" width="12" hidden="1" customWidth="1"/>
    <col min="12" max="12" width="14.85546875" hidden="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6517</v>
      </c>
      <c r="D1" s="187" t="s">
        <v>5874</v>
      </c>
      <c r="E1" s="207" t="s">
        <v>5538</v>
      </c>
      <c r="F1" s="207" t="s">
        <v>6541</v>
      </c>
      <c r="G1" s="207" t="s">
        <v>6542</v>
      </c>
      <c r="H1" s="207" t="s">
        <v>6543</v>
      </c>
      <c r="I1" s="207" t="s">
        <v>5875</v>
      </c>
      <c r="J1" s="207" t="s">
        <v>5872</v>
      </c>
      <c r="K1" s="207" t="s">
        <v>4844</v>
      </c>
      <c r="L1" s="207" t="s">
        <v>4843</v>
      </c>
      <c r="M1" s="207" t="s">
        <v>4248</v>
      </c>
      <c r="N1" s="54" t="s">
        <v>4924</v>
      </c>
      <c r="Q1" t="s">
        <v>4837</v>
      </c>
      <c r="R1" t="s">
        <v>4840</v>
      </c>
      <c r="S1" t="s">
        <v>4841</v>
      </c>
    </row>
    <row r="2" spans="1:27">
      <c r="A2" s="323" t="s">
        <v>4836</v>
      </c>
      <c r="B2" s="323">
        <v>1114343604</v>
      </c>
      <c r="C2" s="187">
        <v>950</v>
      </c>
      <c r="D2" s="187">
        <f>B2*C2/$Q$2</f>
        <v>14.703144775</v>
      </c>
      <c r="E2" s="323">
        <v>2080</v>
      </c>
      <c r="F2" s="323">
        <f>B2*E2/$Q$2</f>
        <v>32.19214856</v>
      </c>
      <c r="G2" s="323"/>
      <c r="H2" s="323"/>
      <c r="I2" s="219">
        <v>2800</v>
      </c>
      <c r="J2" s="219">
        <f>B2*I2/$Q$2</f>
        <v>43.335584599999997</v>
      </c>
      <c r="K2" s="194"/>
      <c r="L2" s="194"/>
      <c r="M2" s="194">
        <v>15259</v>
      </c>
      <c r="N2" s="194">
        <f>B2*M2/$Q$2</f>
        <v>236.16345907549999</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3841</v>
      </c>
      <c r="N3" s="189">
        <f>B3*M3/$Q$2</f>
        <v>283.80722222222221</v>
      </c>
      <c r="R3">
        <f>R2/S2</f>
        <v>0.67695804395061732</v>
      </c>
    </row>
    <row r="4" spans="1:27">
      <c r="A4" s="323" t="s">
        <v>4839</v>
      </c>
      <c r="B4" s="323">
        <v>8000000</v>
      </c>
      <c r="C4" s="187">
        <v>42</v>
      </c>
      <c r="D4" s="187">
        <f>B4*C4/$Q$2</f>
        <v>4.6666666666666671E-3</v>
      </c>
      <c r="E4" s="323">
        <v>408</v>
      </c>
      <c r="F4" s="323">
        <f>B4*E4/$Q$2</f>
        <v>4.5333333333333337E-2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23" t="s">
        <v>4836</v>
      </c>
      <c r="B6" s="323">
        <v>1124128522</v>
      </c>
      <c r="C6" s="187">
        <f>C2</f>
        <v>950</v>
      </c>
      <c r="D6" s="187">
        <f t="shared" ref="D6:D14" si="0">B6*C6*$R$3/$Q$2</f>
        <v>10.040811849057048</v>
      </c>
      <c r="E6" s="323">
        <f>E2</f>
        <v>2080</v>
      </c>
      <c r="F6" s="323">
        <f t="shared" ref="F6:F14" si="1">B6*E6*$R$3/$Q$2</f>
        <v>21.984093311619645</v>
      </c>
      <c r="G6" s="323"/>
      <c r="H6" s="323"/>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23" t="s">
        <v>4839</v>
      </c>
      <c r="B8" s="323">
        <v>4374853691</v>
      </c>
      <c r="C8" s="187">
        <f>C4</f>
        <v>42</v>
      </c>
      <c r="D8" s="187">
        <f t="shared" si="0"/>
        <v>1.7275955650505408</v>
      </c>
      <c r="E8" s="323">
        <f>E4</f>
        <v>408</v>
      </c>
      <c r="F8" s="323">
        <f t="shared" si="1"/>
        <v>16.782356917633823</v>
      </c>
      <c r="G8" s="323"/>
      <c r="H8" s="323"/>
      <c r="I8" s="219">
        <f>I4</f>
        <v>380</v>
      </c>
      <c r="J8" s="219">
        <f t="shared" si="2"/>
        <v>15.630626540933465</v>
      </c>
      <c r="K8" s="189"/>
      <c r="L8" s="189">
        <f t="shared" si="3"/>
        <v>0</v>
      </c>
      <c r="M8" s="189">
        <f>M4</f>
        <v>2135</v>
      </c>
      <c r="N8" s="189">
        <f t="shared" si="4"/>
        <v>87.819441223402492</v>
      </c>
      <c r="O8" s="94">
        <f t="shared" si="5"/>
        <v>44.07260014637037</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v>122</v>
      </c>
      <c r="H10" s="323">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23" t="s">
        <v>4847</v>
      </c>
      <c r="B11" s="323">
        <v>4953996962</v>
      </c>
      <c r="C11" s="187">
        <v>70</v>
      </c>
      <c r="D11" s="187">
        <f t="shared" si="0"/>
        <v>3.260491201656909</v>
      </c>
      <c r="E11" s="323">
        <v>505</v>
      </c>
      <c r="F11" s="323">
        <f t="shared" si="1"/>
        <v>23.522115097667701</v>
      </c>
      <c r="G11" s="323"/>
      <c r="H11" s="323"/>
      <c r="I11" s="219">
        <v>400</v>
      </c>
      <c r="J11" s="219">
        <f t="shared" si="2"/>
        <v>18.631378295182337</v>
      </c>
      <c r="K11" s="189"/>
      <c r="L11" s="189">
        <f t="shared" si="3"/>
        <v>0</v>
      </c>
      <c r="M11" s="189">
        <v>2877</v>
      </c>
      <c r="N11" s="189">
        <f t="shared" si="4"/>
        <v>134.00618838809896</v>
      </c>
      <c r="O11" s="94">
        <f t="shared" si="5"/>
        <v>61.772060884197529</v>
      </c>
      <c r="P11" s="94">
        <f t="shared" si="6"/>
        <v>48.92836505679012</v>
      </c>
      <c r="Q11" s="94">
        <f t="shared" si="7"/>
        <v>8.5624638849382713</v>
      </c>
      <c r="R11" s="94">
        <f t="shared" si="8"/>
        <v>351.91726567096299</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21650</v>
      </c>
      <c r="N13" s="189">
        <f t="shared" si="4"/>
        <v>165.63143517004832</v>
      </c>
      <c r="O13" s="94">
        <f t="shared" si="5"/>
        <v>51.312299479901235</v>
      </c>
      <c r="P13" s="94">
        <f t="shared" si="6"/>
        <v>90.409298222222219</v>
      </c>
      <c r="Q13" s="94">
        <f t="shared" si="7"/>
        <v>22.100050676543209</v>
      </c>
      <c r="R13" s="94">
        <f t="shared" si="8"/>
        <v>434.96917922469135</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6513</v>
      </c>
      <c r="B16" s="323">
        <v>4113600000</v>
      </c>
      <c r="C16" s="187">
        <v>100</v>
      </c>
      <c r="D16" s="187">
        <f>B16*C16/$Q$2</f>
        <v>5.7133333333333329</v>
      </c>
      <c r="E16" s="323">
        <v>165</v>
      </c>
      <c r="F16" s="323">
        <f>B16*E16/$Q$2</f>
        <v>9.4269999999999996</v>
      </c>
      <c r="G16" s="323"/>
      <c r="H16" s="323"/>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6515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6514</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6538</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5873</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291.92344402571223</v>
      </c>
      <c r="G25" s="207"/>
      <c r="H25" s="207">
        <f>SUM(H2:H20)</f>
        <v>6.0966596261665202</v>
      </c>
      <c r="I25" s="207"/>
      <c r="J25" s="207">
        <f>SUM(J2:J22)</f>
        <v>394.42322266142531</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1108</v>
      </c>
      <c r="N28" s="207">
        <f>M28/N25</f>
        <v>0.40079581075041348</v>
      </c>
    </row>
    <row r="30" spans="1:35">
      <c r="A30" s="94"/>
      <c r="B30" s="94"/>
      <c r="E30" s="94"/>
      <c r="F30" s="94"/>
      <c r="G30" s="94"/>
      <c r="H30" s="94"/>
      <c r="I30" s="94"/>
      <c r="J30" s="94"/>
      <c r="K30" s="94"/>
      <c r="L30" s="94"/>
      <c r="O30" t="s">
        <v>4914</v>
      </c>
    </row>
    <row r="31" spans="1:35" ht="18.75">
      <c r="A31" s="328" t="s">
        <v>6537</v>
      </c>
      <c r="B31" s="328" t="s">
        <v>4835</v>
      </c>
      <c r="C31" s="328" t="s">
        <v>6531</v>
      </c>
      <c r="D31" s="328" t="s">
        <v>5539</v>
      </c>
      <c r="E31" s="328" t="s">
        <v>6530</v>
      </c>
      <c r="F31" s="328" t="s">
        <v>6540</v>
      </c>
      <c r="H31" s="94"/>
      <c r="I31" s="94"/>
      <c r="J31" s="94"/>
      <c r="K31" s="94"/>
      <c r="L31" s="94"/>
      <c r="O31" s="97" t="s">
        <v>180</v>
      </c>
      <c r="P31" s="97" t="s">
        <v>267</v>
      </c>
      <c r="Q31" s="97" t="s">
        <v>4912</v>
      </c>
      <c r="R31" s="97"/>
      <c r="S31" s="97"/>
      <c r="T31" s="97"/>
      <c r="U31" s="94"/>
      <c r="V31" s="94"/>
      <c r="W31" s="207" t="s">
        <v>6499</v>
      </c>
      <c r="X31" s="207" t="s">
        <v>25</v>
      </c>
      <c r="Y31" s="207"/>
      <c r="Z31" s="207"/>
      <c r="AA31" s="97"/>
      <c r="AB31" s="207" t="s">
        <v>6500</v>
      </c>
      <c r="AC31" s="207"/>
      <c r="AD31" s="207"/>
      <c r="AE31" s="207"/>
      <c r="AF31" s="207"/>
      <c r="AH31" t="s">
        <v>25</v>
      </c>
    </row>
    <row r="32" spans="1:35" ht="18.75">
      <c r="A32" s="326" t="s">
        <v>6529</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6532</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6480</v>
      </c>
      <c r="X33" s="18">
        <v>55000000</v>
      </c>
      <c r="Y33" s="207">
        <v>1</v>
      </c>
      <c r="Z33" s="207">
        <f>Y33+Z34</f>
        <v>12</v>
      </c>
      <c r="AA33" s="18">
        <f>X33*Z33</f>
        <v>660000000</v>
      </c>
      <c r="AB33" s="207" t="s">
        <v>6498</v>
      </c>
      <c r="AC33" s="18">
        <v>197440000</v>
      </c>
      <c r="AD33" s="207">
        <v>11</v>
      </c>
      <c r="AE33" s="18">
        <f>AC33*AD33</f>
        <v>2171840000</v>
      </c>
      <c r="AF33" s="207"/>
    </row>
    <row r="34" spans="1:33" ht="18.75">
      <c r="A34" s="329" t="s">
        <v>6533</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6501</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6534</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6502</v>
      </c>
      <c r="X35" s="18">
        <v>50000000</v>
      </c>
      <c r="Y35" s="207">
        <v>2</v>
      </c>
      <c r="Z35" s="207">
        <f t="shared" si="13"/>
        <v>10</v>
      </c>
      <c r="AA35" s="18">
        <f t="shared" si="14"/>
        <v>500000000</v>
      </c>
      <c r="AB35" s="207"/>
      <c r="AC35" s="18"/>
      <c r="AD35" s="207"/>
      <c r="AE35" s="207"/>
      <c r="AF35" s="207"/>
    </row>
    <row r="36" spans="1:33" ht="18.75">
      <c r="A36" s="331" t="s">
        <v>6535</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6487</v>
      </c>
      <c r="X36" s="18">
        <v>680000</v>
      </c>
      <c r="Y36" s="207">
        <v>1</v>
      </c>
      <c r="Z36" s="207">
        <f t="shared" si="13"/>
        <v>8</v>
      </c>
      <c r="AA36" s="18">
        <f t="shared" si="14"/>
        <v>5440000</v>
      </c>
      <c r="AB36" s="207"/>
      <c r="AC36" s="18"/>
      <c r="AD36" s="207"/>
      <c r="AE36" s="207"/>
      <c r="AF36" s="207"/>
    </row>
    <row r="37" spans="1:33" ht="18.75">
      <c r="A37" s="332" t="s">
        <v>6536</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6503</v>
      </c>
      <c r="X37" s="18">
        <v>41483</v>
      </c>
      <c r="Y37" s="207">
        <v>1</v>
      </c>
      <c r="Z37" s="207">
        <f t="shared" si="13"/>
        <v>7</v>
      </c>
      <c r="AA37" s="18">
        <f t="shared" si="14"/>
        <v>290381</v>
      </c>
      <c r="AB37" s="207"/>
      <c r="AC37" s="18"/>
      <c r="AD37" s="207"/>
      <c r="AE37" s="207"/>
      <c r="AF37" s="207"/>
    </row>
    <row r="38" spans="1:33" ht="18.75">
      <c r="A38" s="333" t="s">
        <v>6539</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6504</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5809</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5810</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5811</v>
      </c>
      <c r="B56" s="18">
        <f>B53*B54/B55</f>
        <v>600</v>
      </c>
      <c r="E56" s="94"/>
      <c r="F56" s="94"/>
      <c r="G56" s="94"/>
      <c r="O56" s="97" t="s">
        <v>5074</v>
      </c>
      <c r="P56" s="18">
        <v>100000</v>
      </c>
      <c r="Q56" s="97">
        <v>1</v>
      </c>
      <c r="R56" s="97">
        <f t="shared" si="11"/>
        <v>620</v>
      </c>
      <c r="S56" s="97">
        <f t="shared" si="12"/>
        <v>62000000</v>
      </c>
      <c r="T56" s="97"/>
      <c r="U56" s="94"/>
      <c r="V56" s="94"/>
    </row>
    <row r="57" spans="1:32">
      <c r="A57" s="120" t="s">
        <v>5812</v>
      </c>
      <c r="B57" s="120">
        <v>872000000</v>
      </c>
      <c r="E57" s="94"/>
      <c r="F57" s="94"/>
      <c r="G57" s="94"/>
      <c r="O57" s="97" t="s">
        <v>5077</v>
      </c>
      <c r="P57" s="18">
        <v>-1727718</v>
      </c>
      <c r="Q57" s="97">
        <v>2</v>
      </c>
      <c r="R57" s="97">
        <f t="shared" si="11"/>
        <v>619</v>
      </c>
      <c r="S57" s="97">
        <f t="shared" si="12"/>
        <v>-1069457442</v>
      </c>
      <c r="T57" s="97"/>
      <c r="U57" s="94"/>
      <c r="V57" s="94"/>
    </row>
    <row r="58" spans="1:32">
      <c r="A58" s="120" t="s">
        <v>5813</v>
      </c>
      <c r="B58" s="18">
        <v>750</v>
      </c>
      <c r="E58" s="94"/>
      <c r="F58" s="94"/>
      <c r="O58" s="97" t="s">
        <v>5081</v>
      </c>
      <c r="P58" s="18">
        <v>-1000000</v>
      </c>
      <c r="Q58" s="97">
        <v>0</v>
      </c>
      <c r="R58" s="97">
        <f t="shared" si="11"/>
        <v>617</v>
      </c>
      <c r="S58" s="97">
        <f t="shared" si="12"/>
        <v>-617000000</v>
      </c>
      <c r="T58" s="97"/>
      <c r="U58" s="94"/>
      <c r="V58" s="94"/>
    </row>
    <row r="59" spans="1:32">
      <c r="A59" s="120" t="s">
        <v>5814</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5836</v>
      </c>
      <c r="B73" s="94"/>
      <c r="E73" s="94"/>
      <c r="F73" s="94"/>
      <c r="K73" t="s">
        <v>25</v>
      </c>
      <c r="O73" s="97" t="s">
        <v>5234</v>
      </c>
      <c r="P73" s="18">
        <v>-1500000</v>
      </c>
      <c r="Q73" s="97">
        <v>15</v>
      </c>
      <c r="R73" s="97">
        <f t="shared" si="11"/>
        <v>506</v>
      </c>
      <c r="S73" s="97">
        <f t="shared" si="12"/>
        <v>-759000000</v>
      </c>
      <c r="T73" s="97"/>
    </row>
    <row r="74" spans="1:22">
      <c r="A74" s="94" t="s">
        <v>5828</v>
      </c>
      <c r="B74" s="94"/>
      <c r="E74" s="94"/>
      <c r="F74" s="94"/>
      <c r="O74" s="97" t="s">
        <v>5257</v>
      </c>
      <c r="P74" s="18">
        <v>-100000</v>
      </c>
      <c r="Q74" s="97">
        <v>5</v>
      </c>
      <c r="R74" s="97">
        <f t="shared" si="11"/>
        <v>491</v>
      </c>
      <c r="S74" s="97">
        <f t="shared" si="12"/>
        <v>-49100000</v>
      </c>
      <c r="T74" s="97"/>
    </row>
    <row r="75" spans="1:22">
      <c r="A75" s="94" t="s">
        <v>5829</v>
      </c>
      <c r="B75" s="94"/>
      <c r="E75" s="94"/>
      <c r="F75" s="94"/>
      <c r="O75" s="97" t="s">
        <v>5261</v>
      </c>
      <c r="P75" s="18">
        <v>1164690</v>
      </c>
      <c r="Q75" s="97">
        <v>4</v>
      </c>
      <c r="R75" s="97">
        <f t="shared" si="11"/>
        <v>486</v>
      </c>
      <c r="S75" s="97">
        <f t="shared" si="12"/>
        <v>566039340</v>
      </c>
      <c r="T75" s="97"/>
      <c r="U75" t="s">
        <v>25</v>
      </c>
    </row>
    <row r="76" spans="1:22">
      <c r="A76" t="s">
        <v>5837</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5831</v>
      </c>
      <c r="B80" s="94"/>
      <c r="C80" s="94" t="s">
        <v>25</v>
      </c>
      <c r="E80" s="94"/>
      <c r="F80" s="94"/>
      <c r="O80" s="97" t="s">
        <v>5295</v>
      </c>
      <c r="P80" s="18">
        <v>-75616</v>
      </c>
      <c r="Q80" s="97">
        <v>2</v>
      </c>
      <c r="R80" s="97">
        <f t="shared" si="11"/>
        <v>470</v>
      </c>
      <c r="S80" s="97">
        <f t="shared" si="12"/>
        <v>-35539520</v>
      </c>
      <c r="T80" s="97" t="s">
        <v>5296</v>
      </c>
    </row>
    <row r="81" spans="1:23">
      <c r="A81" s="94" t="s">
        <v>5832</v>
      </c>
      <c r="B81" s="94"/>
      <c r="E81" s="94"/>
      <c r="F81" s="94"/>
      <c r="O81" s="97" t="s">
        <v>963</v>
      </c>
      <c r="P81" s="18">
        <v>-2424384</v>
      </c>
      <c r="Q81" s="97">
        <v>2</v>
      </c>
      <c r="R81" s="97">
        <f t="shared" si="11"/>
        <v>468</v>
      </c>
      <c r="S81" s="97">
        <f t="shared" si="12"/>
        <v>-1134611712</v>
      </c>
      <c r="T81" s="97"/>
      <c r="W81" t="s">
        <v>25</v>
      </c>
    </row>
    <row r="82" spans="1:23">
      <c r="A82" t="s">
        <v>5848</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5830</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5841</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5842</v>
      </c>
      <c r="B92" s="94"/>
      <c r="E92" s="94"/>
      <c r="F92" s="94"/>
      <c r="O92" s="97" t="s">
        <v>5411</v>
      </c>
      <c r="P92" s="18">
        <v>-1000000</v>
      </c>
      <c r="Q92" s="97">
        <v>25</v>
      </c>
      <c r="R92" s="97">
        <f t="shared" si="11"/>
        <v>406</v>
      </c>
      <c r="S92" s="97">
        <f t="shared" si="12"/>
        <v>-406000000</v>
      </c>
      <c r="T92" s="97"/>
    </row>
    <row r="93" spans="1:23">
      <c r="A93" s="94" t="s">
        <v>5843</v>
      </c>
      <c r="B93" s="94"/>
      <c r="E93" s="94"/>
      <c r="F93" s="94"/>
      <c r="O93" s="97" t="s">
        <v>5441</v>
      </c>
      <c r="P93" s="18">
        <v>300000</v>
      </c>
      <c r="Q93" s="97">
        <v>3</v>
      </c>
      <c r="R93" s="97">
        <f t="shared" si="11"/>
        <v>381</v>
      </c>
      <c r="S93" s="97">
        <f t="shared" si="12"/>
        <v>114300000</v>
      </c>
      <c r="T93" s="97"/>
    </row>
    <row r="94" spans="1:23">
      <c r="A94" s="94" t="s">
        <v>5844</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5835</v>
      </c>
      <c r="E102" s="94"/>
      <c r="F102" s="94"/>
      <c r="O102" s="97" t="s">
        <v>5570</v>
      </c>
      <c r="P102" s="18">
        <v>-70000</v>
      </c>
      <c r="Q102" s="97">
        <v>1</v>
      </c>
      <c r="R102" s="97">
        <f t="shared" si="17"/>
        <v>310</v>
      </c>
      <c r="S102" s="97">
        <f t="shared" si="18"/>
        <v>-21700000</v>
      </c>
      <c r="T102" s="97"/>
    </row>
    <row r="103" spans="1:28">
      <c r="A103" s="94" t="s">
        <v>5833</v>
      </c>
      <c r="E103" s="94"/>
      <c r="F103" s="94"/>
      <c r="O103" s="97" t="s">
        <v>5574</v>
      </c>
      <c r="P103" s="18">
        <v>70085</v>
      </c>
      <c r="Q103" s="97">
        <v>7</v>
      </c>
      <c r="R103" s="97">
        <f t="shared" si="17"/>
        <v>309</v>
      </c>
      <c r="S103" s="97">
        <f t="shared" si="18"/>
        <v>21656265</v>
      </c>
      <c r="T103" s="97" t="s">
        <v>5575</v>
      </c>
    </row>
    <row r="104" spans="1:28">
      <c r="A104" s="94" t="s">
        <v>5834</v>
      </c>
      <c r="E104" s="94"/>
      <c r="F104" s="94"/>
      <c r="O104" s="97" t="s">
        <v>5581</v>
      </c>
      <c r="P104" s="18">
        <v>-1000000</v>
      </c>
      <c r="Q104" s="97">
        <v>31</v>
      </c>
      <c r="R104" s="97">
        <f t="shared" si="17"/>
        <v>302</v>
      </c>
      <c r="S104" s="97">
        <f t="shared" si="18"/>
        <v>-302000000</v>
      </c>
      <c r="T104" s="97"/>
    </row>
    <row r="105" spans="1:28">
      <c r="A105" s="94" t="s">
        <v>5845</v>
      </c>
      <c r="E105" s="94"/>
      <c r="F105" s="94"/>
      <c r="O105" s="97" t="s">
        <v>5610</v>
      </c>
      <c r="P105" s="18">
        <v>6000000</v>
      </c>
      <c r="Q105" s="97">
        <v>1</v>
      </c>
      <c r="R105" s="97">
        <f t="shared" si="17"/>
        <v>271</v>
      </c>
      <c r="S105" s="97">
        <f t="shared" si="18"/>
        <v>1626000000</v>
      </c>
      <c r="T105" s="97"/>
      <c r="U105" t="s">
        <v>25</v>
      </c>
    </row>
    <row r="106" spans="1:28">
      <c r="A106" s="94" t="s">
        <v>5846</v>
      </c>
      <c r="E106" s="94"/>
      <c r="F106" s="94"/>
      <c r="O106" s="97" t="s">
        <v>5611</v>
      </c>
      <c r="P106" s="18">
        <v>6000000</v>
      </c>
      <c r="Q106" s="97">
        <v>11</v>
      </c>
      <c r="R106" s="97">
        <f t="shared" si="17"/>
        <v>270</v>
      </c>
      <c r="S106" s="97">
        <f t="shared" si="18"/>
        <v>1620000000</v>
      </c>
      <c r="T106" s="97"/>
    </row>
    <row r="107" spans="1:28">
      <c r="A107" s="94" t="s">
        <v>5847</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5838</v>
      </c>
      <c r="O109" s="97" t="s">
        <v>5680</v>
      </c>
      <c r="P109" s="18">
        <v>500000</v>
      </c>
      <c r="Q109" s="97">
        <v>4</v>
      </c>
      <c r="R109" s="97">
        <f t="shared" si="17"/>
        <v>228</v>
      </c>
      <c r="S109" s="97">
        <f t="shared" si="18"/>
        <v>114000000</v>
      </c>
      <c r="T109" s="97"/>
    </row>
    <row r="110" spans="1:28">
      <c r="A110" t="s">
        <v>5839</v>
      </c>
      <c r="O110" s="97" t="s">
        <v>5684</v>
      </c>
      <c r="P110" s="18">
        <v>-500000</v>
      </c>
      <c r="Q110" s="97">
        <v>48</v>
      </c>
      <c r="R110" s="97">
        <f t="shared" si="17"/>
        <v>224</v>
      </c>
      <c r="S110" s="97">
        <f t="shared" si="18"/>
        <v>-112000000</v>
      </c>
      <c r="T110" s="97"/>
      <c r="V110" t="s">
        <v>25</v>
      </c>
    </row>
    <row r="111" spans="1:28">
      <c r="A111" s="94" t="s">
        <v>5840</v>
      </c>
      <c r="O111" s="97" t="s">
        <v>5745</v>
      </c>
      <c r="P111" s="18">
        <v>2000000</v>
      </c>
      <c r="Q111" s="97">
        <v>11</v>
      </c>
      <c r="R111" s="97">
        <f t="shared" si="17"/>
        <v>176</v>
      </c>
      <c r="S111" s="97">
        <f t="shared" si="18"/>
        <v>352000000</v>
      </c>
      <c r="T111" s="97"/>
    </row>
    <row r="112" spans="1:28">
      <c r="A112" s="94"/>
      <c r="O112" s="97" t="s">
        <v>5759</v>
      </c>
      <c r="P112" s="18">
        <v>-2000000</v>
      </c>
      <c r="Q112" s="97">
        <v>1</v>
      </c>
      <c r="R112" s="97">
        <f t="shared" si="17"/>
        <v>165</v>
      </c>
      <c r="S112" s="97">
        <f t="shared" si="18"/>
        <v>-330000000</v>
      </c>
      <c r="T112" s="97"/>
      <c r="V112" t="s">
        <v>25</v>
      </c>
    </row>
    <row r="113" spans="1:25">
      <c r="O113" s="97" t="s">
        <v>5761</v>
      </c>
      <c r="P113" s="18">
        <v>-42203</v>
      </c>
      <c r="Q113" s="97">
        <v>2</v>
      </c>
      <c r="R113" s="97">
        <f t="shared" si="17"/>
        <v>164</v>
      </c>
      <c r="S113" s="97">
        <f t="shared" si="18"/>
        <v>-6921292</v>
      </c>
      <c r="T113" s="97" t="s">
        <v>5766</v>
      </c>
    </row>
    <row r="114" spans="1:25">
      <c r="A114" s="94"/>
      <c r="O114" s="97" t="s">
        <v>5769</v>
      </c>
      <c r="P114" s="18">
        <v>-365000</v>
      </c>
      <c r="Q114" s="97">
        <v>5</v>
      </c>
      <c r="R114" s="97">
        <f t="shared" si="17"/>
        <v>162</v>
      </c>
      <c r="S114" s="97">
        <f t="shared" si="18"/>
        <v>-59130000</v>
      </c>
      <c r="T114" s="97" t="s">
        <v>5770</v>
      </c>
    </row>
    <row r="115" spans="1:25">
      <c r="A115" s="94"/>
      <c r="O115" s="97" t="s">
        <v>5776</v>
      </c>
      <c r="P115" s="18">
        <v>12000000</v>
      </c>
      <c r="Q115" s="97">
        <v>9</v>
      </c>
      <c r="R115" s="97">
        <f t="shared" si="17"/>
        <v>157</v>
      </c>
      <c r="S115" s="97">
        <f t="shared" si="18"/>
        <v>1884000000</v>
      </c>
      <c r="T115" s="97" t="s">
        <v>5777</v>
      </c>
      <c r="Y115" t="s">
        <v>25</v>
      </c>
    </row>
    <row r="116" spans="1:25">
      <c r="M116" t="s">
        <v>25</v>
      </c>
      <c r="O116" s="97" t="s">
        <v>5790</v>
      </c>
      <c r="P116" s="18">
        <v>-4000000</v>
      </c>
      <c r="Q116" s="97">
        <v>1</v>
      </c>
      <c r="R116" s="97">
        <f t="shared" si="17"/>
        <v>148</v>
      </c>
      <c r="S116" s="97">
        <f t="shared" si="18"/>
        <v>-592000000</v>
      </c>
      <c r="T116" s="97"/>
    </row>
    <row r="117" spans="1:25">
      <c r="A117" s="94"/>
      <c r="O117" s="97" t="s">
        <v>5794</v>
      </c>
      <c r="P117" s="18">
        <v>-5000000</v>
      </c>
      <c r="Q117" s="97">
        <v>2</v>
      </c>
      <c r="R117" s="97">
        <f>Q117+R118</f>
        <v>147</v>
      </c>
      <c r="S117" s="97">
        <f t="shared" si="18"/>
        <v>-735000000</v>
      </c>
      <c r="T117" s="97"/>
    </row>
    <row r="118" spans="1:25">
      <c r="A118" s="94"/>
      <c r="O118" s="97" t="s">
        <v>5792</v>
      </c>
      <c r="P118" s="18">
        <v>-2500000</v>
      </c>
      <c r="Q118" s="97">
        <v>1</v>
      </c>
      <c r="R118" s="97">
        <f t="shared" si="17"/>
        <v>145</v>
      </c>
      <c r="S118" s="97">
        <f t="shared" si="18"/>
        <v>-362500000</v>
      </c>
      <c r="T118" s="97"/>
    </row>
    <row r="119" spans="1:25">
      <c r="O119" s="97" t="s">
        <v>5793</v>
      </c>
      <c r="P119" s="18">
        <v>-500000</v>
      </c>
      <c r="Q119" s="97">
        <v>17</v>
      </c>
      <c r="R119" s="97">
        <f t="shared" si="17"/>
        <v>144</v>
      </c>
      <c r="S119" s="97">
        <f t="shared" si="18"/>
        <v>-72000000</v>
      </c>
      <c r="T119" s="97"/>
    </row>
    <row r="120" spans="1:25">
      <c r="O120" s="97" t="s">
        <v>5795</v>
      </c>
      <c r="P120" s="18">
        <v>-192797</v>
      </c>
      <c r="Q120" s="97">
        <v>15</v>
      </c>
      <c r="R120" s="97">
        <f t="shared" si="17"/>
        <v>127</v>
      </c>
      <c r="S120" s="97">
        <f t="shared" si="18"/>
        <v>-24485219</v>
      </c>
      <c r="T120" s="97"/>
    </row>
    <row r="121" spans="1:25">
      <c r="O121" s="97" t="s">
        <v>5800</v>
      </c>
      <c r="P121" s="18">
        <v>2000000</v>
      </c>
      <c r="Q121" s="97">
        <v>12</v>
      </c>
      <c r="R121" s="97">
        <f t="shared" si="17"/>
        <v>112</v>
      </c>
      <c r="S121" s="97">
        <f t="shared" si="18"/>
        <v>224000000</v>
      </c>
      <c r="T121" s="97"/>
    </row>
    <row r="122" spans="1:25">
      <c r="N122" t="s">
        <v>25</v>
      </c>
      <c r="O122" s="97" t="s">
        <v>5807</v>
      </c>
      <c r="P122" s="18">
        <v>-2000000</v>
      </c>
      <c r="Q122" s="97">
        <v>0</v>
      </c>
      <c r="R122" s="97">
        <f t="shared" si="17"/>
        <v>100</v>
      </c>
      <c r="S122" s="97">
        <f t="shared" si="18"/>
        <v>-200000000</v>
      </c>
      <c r="T122" s="97"/>
    </row>
    <row r="123" spans="1:25">
      <c r="O123" s="97" t="s">
        <v>5807</v>
      </c>
      <c r="P123" s="18">
        <v>-4000000</v>
      </c>
      <c r="Q123" s="97">
        <v>1</v>
      </c>
      <c r="R123" s="97">
        <f t="shared" si="17"/>
        <v>100</v>
      </c>
      <c r="S123" s="97">
        <f t="shared" si="18"/>
        <v>-400000000</v>
      </c>
      <c r="T123" s="97"/>
    </row>
    <row r="124" spans="1:25">
      <c r="O124" s="97" t="s">
        <v>5808</v>
      </c>
      <c r="P124" s="18">
        <v>-3000000</v>
      </c>
      <c r="Q124" s="97">
        <v>3</v>
      </c>
      <c r="R124" s="97">
        <f t="shared" si="17"/>
        <v>99</v>
      </c>
      <c r="S124" s="97">
        <f t="shared" si="18"/>
        <v>-297000000</v>
      </c>
      <c r="T124" s="97"/>
    </row>
    <row r="125" spans="1:25">
      <c r="O125" s="97" t="s">
        <v>5815</v>
      </c>
      <c r="P125" s="18">
        <v>-6000000</v>
      </c>
      <c r="Q125" s="97">
        <v>1</v>
      </c>
      <c r="R125" s="97">
        <f t="shared" si="17"/>
        <v>96</v>
      </c>
      <c r="S125" s="97">
        <f t="shared" si="18"/>
        <v>-576000000</v>
      </c>
      <c r="T125" s="97"/>
    </row>
    <row r="126" spans="1:25">
      <c r="O126" s="97" t="s">
        <v>5819</v>
      </c>
      <c r="P126" s="18">
        <v>-10000000</v>
      </c>
      <c r="Q126" s="97">
        <v>0</v>
      </c>
      <c r="R126" s="97">
        <f t="shared" si="17"/>
        <v>95</v>
      </c>
      <c r="S126" s="97">
        <f t="shared" si="18"/>
        <v>-950000000</v>
      </c>
      <c r="T126" s="97"/>
    </row>
    <row r="127" spans="1:25">
      <c r="O127" s="97" t="s">
        <v>5819</v>
      </c>
      <c r="P127" s="18">
        <v>-5500000</v>
      </c>
      <c r="Q127" s="97">
        <v>1</v>
      </c>
      <c r="R127" s="97">
        <f t="shared" si="17"/>
        <v>95</v>
      </c>
      <c r="S127" s="97">
        <f t="shared" si="18"/>
        <v>-522500000</v>
      </c>
      <c r="T127" s="97"/>
    </row>
    <row r="128" spans="1:25">
      <c r="O128" s="97" t="s">
        <v>5820</v>
      </c>
      <c r="P128" s="18">
        <v>-1500000</v>
      </c>
      <c r="Q128" s="97">
        <v>9</v>
      </c>
      <c r="R128" s="97">
        <f t="shared" si="17"/>
        <v>94</v>
      </c>
      <c r="S128" s="97">
        <f t="shared" si="18"/>
        <v>-141000000</v>
      </c>
      <c r="T128" s="97"/>
    </row>
    <row r="129" spans="1:23">
      <c r="O129" s="97" t="s">
        <v>5849</v>
      </c>
      <c r="P129" s="18">
        <v>-22545000</v>
      </c>
      <c r="Q129" s="97">
        <v>18</v>
      </c>
      <c r="R129" s="97">
        <f t="shared" si="17"/>
        <v>85</v>
      </c>
      <c r="S129" s="97">
        <f t="shared" si="18"/>
        <v>-1916325000</v>
      </c>
      <c r="T129" s="97" t="s">
        <v>5853</v>
      </c>
    </row>
    <row r="130" spans="1:23">
      <c r="O130" s="97" t="s">
        <v>5866</v>
      </c>
      <c r="P130" s="18">
        <v>5000000</v>
      </c>
      <c r="Q130" s="97">
        <v>9</v>
      </c>
      <c r="R130" s="97">
        <f t="shared" si="17"/>
        <v>67</v>
      </c>
      <c r="S130" s="97">
        <f t="shared" si="18"/>
        <v>335000000</v>
      </c>
      <c r="T130" s="97"/>
    </row>
    <row r="131" spans="1:23">
      <c r="O131" s="97" t="s">
        <v>5880</v>
      </c>
      <c r="P131" s="18">
        <v>3000000</v>
      </c>
      <c r="Q131" s="97">
        <v>0</v>
      </c>
      <c r="R131" s="97">
        <f t="shared" si="17"/>
        <v>58</v>
      </c>
      <c r="S131" s="97">
        <f t="shared" si="18"/>
        <v>174000000</v>
      </c>
      <c r="T131" s="97"/>
      <c r="W131" t="s">
        <v>25</v>
      </c>
    </row>
    <row r="132" spans="1:23">
      <c r="O132" s="97" t="s">
        <v>5880</v>
      </c>
      <c r="P132" s="18">
        <v>-3000000</v>
      </c>
      <c r="Q132" s="97">
        <v>1</v>
      </c>
      <c r="R132" s="97">
        <f t="shared" si="17"/>
        <v>58</v>
      </c>
      <c r="S132" s="97">
        <f t="shared" si="18"/>
        <v>-174000000</v>
      </c>
      <c r="T132" s="97"/>
    </row>
    <row r="133" spans="1:23">
      <c r="O133" s="97" t="s">
        <v>5881</v>
      </c>
      <c r="P133" s="18">
        <v>-11455000</v>
      </c>
      <c r="Q133" s="97">
        <v>14</v>
      </c>
      <c r="R133" s="97">
        <f t="shared" si="17"/>
        <v>57</v>
      </c>
      <c r="S133" s="97">
        <f t="shared" si="18"/>
        <v>-652935000</v>
      </c>
      <c r="T133" s="97"/>
    </row>
    <row r="134" spans="1:23">
      <c r="O134" s="97" t="s">
        <v>6468</v>
      </c>
      <c r="P134" s="18">
        <v>2317100</v>
      </c>
      <c r="Q134" s="97">
        <v>3</v>
      </c>
      <c r="R134" s="97">
        <f t="shared" si="17"/>
        <v>43</v>
      </c>
      <c r="S134" s="97">
        <f t="shared" si="18"/>
        <v>99635300</v>
      </c>
      <c r="T134" s="97"/>
    </row>
    <row r="135" spans="1:23">
      <c r="O135" s="97" t="s">
        <v>6473</v>
      </c>
      <c r="P135" s="18">
        <v>699000</v>
      </c>
      <c r="Q135" s="97">
        <v>3</v>
      </c>
      <c r="R135" s="97">
        <f t="shared" si="17"/>
        <v>40</v>
      </c>
      <c r="S135" s="97">
        <f t="shared" si="18"/>
        <v>27960000</v>
      </c>
      <c r="T135" s="97"/>
    </row>
    <row r="136" spans="1:23">
      <c r="O136" s="97" t="s">
        <v>6479</v>
      </c>
      <c r="P136" s="18">
        <v>-1016100</v>
      </c>
      <c r="Q136" s="97">
        <v>5</v>
      </c>
      <c r="R136" s="97">
        <f t="shared" si="17"/>
        <v>37</v>
      </c>
      <c r="S136" s="97">
        <f t="shared" si="18"/>
        <v>-37595700</v>
      </c>
      <c r="T136" s="97"/>
    </row>
    <row r="137" spans="1:23">
      <c r="A137" s="305" t="s">
        <v>180</v>
      </c>
      <c r="B137" s="306" t="s">
        <v>5905</v>
      </c>
      <c r="C137" s="32" t="s">
        <v>5906</v>
      </c>
      <c r="D137" s="32" t="s">
        <v>5907</v>
      </c>
      <c r="E137" s="32" t="s">
        <v>5908</v>
      </c>
      <c r="F137" s="32" t="s">
        <v>5909</v>
      </c>
      <c r="G137" s="32" t="s">
        <v>5326</v>
      </c>
      <c r="H137" s="32" t="s">
        <v>5910</v>
      </c>
      <c r="I137" s="280" t="s">
        <v>5911</v>
      </c>
      <c r="O137" s="97" t="s">
        <v>6487</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6488</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6491</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6506</v>
      </c>
      <c r="P140" s="240">
        <v>-485000</v>
      </c>
      <c r="Q140" s="144">
        <v>11</v>
      </c>
      <c r="R140" s="97">
        <f t="shared" si="17"/>
        <v>23</v>
      </c>
      <c r="S140" s="97">
        <f t="shared" si="18"/>
        <v>-11155000</v>
      </c>
      <c r="T140" s="144"/>
      <c r="V140" t="s">
        <v>25</v>
      </c>
    </row>
    <row r="141" spans="1:23">
      <c r="A141" s="305" t="s">
        <v>5880</v>
      </c>
      <c r="B141" s="18"/>
      <c r="C141" s="18"/>
      <c r="D141" s="18"/>
      <c r="E141" s="18"/>
      <c r="F141" s="32">
        <f>F140+I141</f>
        <v>473322.33694283559</v>
      </c>
      <c r="G141" s="32">
        <v>80</v>
      </c>
      <c r="H141" s="32">
        <v>1100</v>
      </c>
      <c r="I141" s="311">
        <f>F140*G141/H141</f>
        <v>32089.64996222614</v>
      </c>
      <c r="O141" s="97" t="s">
        <v>6516</v>
      </c>
      <c r="P141" s="18">
        <v>3000000</v>
      </c>
      <c r="Q141" s="97">
        <v>1</v>
      </c>
      <c r="R141" s="97">
        <f t="shared" si="17"/>
        <v>12</v>
      </c>
      <c r="S141" s="97">
        <f t="shared" si="18"/>
        <v>36000000</v>
      </c>
      <c r="T141" s="97"/>
    </row>
    <row r="142" spans="1:23">
      <c r="A142" s="9"/>
      <c r="B142" s="18"/>
      <c r="O142" s="97" t="s">
        <v>6518</v>
      </c>
      <c r="P142" s="18">
        <v>255000</v>
      </c>
      <c r="Q142" s="97">
        <v>1</v>
      </c>
      <c r="R142" s="97">
        <f t="shared" si="17"/>
        <v>11</v>
      </c>
      <c r="S142" s="97">
        <f t="shared" si="18"/>
        <v>2805000</v>
      </c>
      <c r="T142" s="97" t="s">
        <v>6519</v>
      </c>
    </row>
    <row r="143" spans="1:23">
      <c r="A143" s="305"/>
      <c r="B143" s="307" t="s">
        <v>5912</v>
      </c>
      <c r="C143" s="18"/>
      <c r="D143" s="18" t="s">
        <v>5913</v>
      </c>
      <c r="E143" s="18"/>
      <c r="F143" s="18" t="s">
        <v>5914</v>
      </c>
      <c r="G143" s="32"/>
      <c r="H143" s="32"/>
      <c r="I143" s="207"/>
      <c r="O143" s="97" t="s">
        <v>6520</v>
      </c>
      <c r="P143" s="18">
        <v>-3255000</v>
      </c>
      <c r="Q143" s="97">
        <v>9</v>
      </c>
      <c r="R143" s="97">
        <f t="shared" si="17"/>
        <v>10</v>
      </c>
      <c r="S143" s="97">
        <f t="shared" si="18"/>
        <v>-32550000</v>
      </c>
      <c r="T143" s="97"/>
      <c r="V143" t="s">
        <v>25</v>
      </c>
    </row>
    <row r="144" spans="1:23">
      <c r="A144" s="305" t="s">
        <v>5904</v>
      </c>
      <c r="B144" s="307">
        <v>260000000</v>
      </c>
      <c r="C144" s="18"/>
      <c r="D144" s="308">
        <f>10440000*D138</f>
        <v>166090909.09090909</v>
      </c>
      <c r="E144" s="18"/>
      <c r="F144" s="310">
        <f>1066*F141</f>
        <v>504561611.18106276</v>
      </c>
      <c r="G144" s="32"/>
      <c r="H144" s="32"/>
      <c r="I144" s="207"/>
      <c r="M144" t="s">
        <v>25</v>
      </c>
      <c r="O144" s="97" t="s">
        <v>6548</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6463</v>
      </c>
      <c r="B148" s="316" t="s">
        <v>6461</v>
      </c>
      <c r="C148" s="32" t="s">
        <v>6486</v>
      </c>
      <c r="D148" s="239" t="s">
        <v>1100</v>
      </c>
      <c r="E148" s="32" t="s">
        <v>6462</v>
      </c>
      <c r="F148" s="207" t="s">
        <v>5906</v>
      </c>
      <c r="G148" s="207" t="s">
        <v>6485</v>
      </c>
      <c r="H148" s="94"/>
      <c r="I148" s="94"/>
      <c r="J148" s="94"/>
      <c r="M148" t="s">
        <v>25</v>
      </c>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P152" s="94"/>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5725</v>
      </c>
    </row>
    <row r="157" spans="4:9">
      <c r="D157" s="18">
        <v>-1300000</v>
      </c>
      <c r="E157" s="237" t="s">
        <v>5726</v>
      </c>
    </row>
    <row r="158" spans="4:9">
      <c r="D158" s="18">
        <v>860000</v>
      </c>
      <c r="E158" s="237" t="s">
        <v>5744</v>
      </c>
    </row>
    <row r="159" spans="4:9">
      <c r="D159" s="18">
        <v>-83900</v>
      </c>
      <c r="E159" s="237" t="s">
        <v>5756</v>
      </c>
      <c r="I159" t="s">
        <v>25</v>
      </c>
    </row>
    <row r="160" spans="4:9">
      <c r="D160" s="18">
        <v>-3810000</v>
      </c>
      <c r="E160" s="237" t="s">
        <v>5775</v>
      </c>
      <c r="H160" t="s">
        <v>25</v>
      </c>
    </row>
    <row r="161" spans="4:9">
      <c r="D161" s="18">
        <v>30000000</v>
      </c>
      <c r="E161" s="237" t="s">
        <v>5902</v>
      </c>
      <c r="I161" t="s">
        <v>25</v>
      </c>
    </row>
    <row r="162" spans="4:9">
      <c r="D162" s="18">
        <v>50000000</v>
      </c>
      <c r="E162" s="237" t="s">
        <v>5923</v>
      </c>
    </row>
    <row r="163" spans="4:9">
      <c r="D163" s="18">
        <v>-19100000</v>
      </c>
      <c r="E163" s="237" t="s">
        <v>5922</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abSelected="1"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5791</v>
      </c>
      <c r="O19" t="s">
        <v>6572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6490</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opLeftCell="J62" zoomScale="80" zoomScaleNormal="80" workbookViewId="0">
      <selection activeCell="O77" sqref="O7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5187659175.1966276</v>
      </c>
      <c r="M21" s="166" t="s">
        <v>4275</v>
      </c>
      <c r="N21" s="111">
        <f>O21*P21</f>
        <v>2887544396</v>
      </c>
      <c r="O21" s="97">
        <v>2606087</v>
      </c>
      <c r="P21" s="183">
        <f>P50</f>
        <v>1108</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489663</v>
      </c>
      <c r="O22" s="97">
        <v>369</v>
      </c>
      <c r="P22" s="183">
        <f>P53</f>
        <v>1327</v>
      </c>
      <c r="Q22" s="167">
        <v>1614398</v>
      </c>
      <c r="R22" s="166" t="s">
        <v>4397</v>
      </c>
      <c r="S22" s="166">
        <f>S21-3</f>
        <v>939</v>
      </c>
      <c r="T22" s="19" t="s">
        <v>5619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5915</v>
      </c>
      <c r="N23" s="111">
        <f>O23*P23</f>
        <v>64891940</v>
      </c>
      <c r="O23" s="97">
        <v>31732</v>
      </c>
      <c r="P23" s="183">
        <f>P51</f>
        <v>2045</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5052776769.1966276</v>
      </c>
      <c r="G24" s="93">
        <f t="shared" si="0"/>
        <v>-4772470423.8146887</v>
      </c>
      <c r="H24" s="11"/>
      <c r="I24" s="94"/>
      <c r="J24" s="94"/>
      <c r="K24" s="207"/>
      <c r="L24" s="115"/>
      <c r="M24" s="207" t="s">
        <v>4357</v>
      </c>
      <c r="N24" s="111">
        <f>O24*P24</f>
        <v>37316000</v>
      </c>
      <c r="O24" s="97">
        <v>2455</v>
      </c>
      <c r="P24" s="183">
        <f>P48</f>
        <v>15200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5882</v>
      </c>
      <c r="N25" s="111">
        <f>O25*P25</f>
        <v>0</v>
      </c>
      <c r="O25" s="97">
        <v>0</v>
      </c>
      <c r="P25" s="183">
        <f>P52</f>
        <v>7800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5926</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5915</v>
      </c>
      <c r="N29" s="111">
        <f>O29*P29</f>
        <v>19344416</v>
      </c>
      <c r="O29" s="67">
        <v>10192</v>
      </c>
      <c r="P29" s="97">
        <v>1898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15200</v>
      </c>
      <c r="Q30" s="167">
        <v>7046042.5001907032</v>
      </c>
      <c r="R30" s="207" t="s">
        <v>4874</v>
      </c>
      <c r="S30" s="194">
        <f>S29-5</f>
        <v>769</v>
      </c>
      <c r="T30" s="207" t="s">
        <v>5584</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342799688</v>
      </c>
      <c r="O31" s="67">
        <v>309386</v>
      </c>
      <c r="P31" s="97">
        <f>P50</f>
        <v>1108</v>
      </c>
      <c r="Q31" s="167">
        <v>5368238</v>
      </c>
      <c r="R31" s="207" t="s">
        <v>5591</v>
      </c>
      <c r="S31" s="194">
        <f>S30-465</f>
        <v>304</v>
      </c>
      <c r="T31" s="207" t="s">
        <v>5592</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301</v>
      </c>
      <c r="T32" s="207" t="s">
        <v>5594</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300</v>
      </c>
      <c r="T33" s="207" t="s">
        <v>5596</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6550</v>
      </c>
      <c r="L34" s="115">
        <v>-35500000</v>
      </c>
      <c r="M34" s="166" t="s">
        <v>4131</v>
      </c>
      <c r="N34" s="111">
        <f>-W165</f>
        <v>-5187659175.1966276</v>
      </c>
      <c r="O34">
        <f>O23-1896</f>
        <v>29836</v>
      </c>
      <c r="P34" t="s">
        <v>25</v>
      </c>
      <c r="Q34" s="167">
        <v>47880291</v>
      </c>
      <c r="R34" s="207" t="s">
        <v>5602</v>
      </c>
      <c r="S34" s="194">
        <f>S33-8</f>
        <v>292</v>
      </c>
      <c r="T34" s="207" t="s">
        <v>5606</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291</v>
      </c>
      <c r="T35" s="207" t="s">
        <v>5609</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290</v>
      </c>
      <c r="T36" s="207" t="s">
        <v>5608</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5610</v>
      </c>
      <c r="S37" s="194">
        <f>S36-3</f>
        <v>287</v>
      </c>
      <c r="T37" s="207" t="s">
        <v>5614</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285</v>
      </c>
      <c r="T38" s="207" t="s">
        <v>5613</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284</v>
      </c>
      <c r="T39" s="207" t="s">
        <v>5620</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6551</v>
      </c>
      <c r="N40" s="111">
        <v>-34200000</v>
      </c>
      <c r="O40" s="279"/>
      <c r="P40" s="94" t="s">
        <v>25</v>
      </c>
      <c r="Q40" s="167">
        <v>563902380</v>
      </c>
      <c r="R40" s="207" t="s">
        <v>5622</v>
      </c>
      <c r="S40" s="194">
        <f>S39-5</f>
        <v>279</v>
      </c>
      <c r="T40" s="207" t="s">
        <v>5624</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6467</v>
      </c>
      <c r="L41" s="115">
        <f>-13649*P50</f>
        <v>-15123092</v>
      </c>
      <c r="M41" s="166"/>
      <c r="N41" s="111"/>
      <c r="O41" s="112"/>
      <c r="P41" s="94"/>
      <c r="Q41" s="167">
        <v>814638349</v>
      </c>
      <c r="R41" s="207" t="s">
        <v>5629</v>
      </c>
      <c r="S41" s="194">
        <f>S40-8</f>
        <v>271</v>
      </c>
      <c r="T41" s="207" t="s">
        <v>5630</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793</v>
      </c>
      <c r="O42" s="112"/>
      <c r="P42" t="s">
        <v>25</v>
      </c>
      <c r="Q42" s="167">
        <v>2537951</v>
      </c>
      <c r="R42" s="207" t="s">
        <v>5644</v>
      </c>
      <c r="S42" s="194">
        <f>S41-5</f>
        <v>266</v>
      </c>
      <c r="T42" s="207" t="s">
        <v>5645</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264</v>
      </c>
      <c r="T43" s="207" t="s">
        <v>5651</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6505</v>
      </c>
      <c r="N44" s="115">
        <f>O44*P44</f>
        <v>40310148</v>
      </c>
      <c r="O44" s="67">
        <v>36381</v>
      </c>
      <c r="P44" s="67">
        <f>P50</f>
        <v>1108</v>
      </c>
      <c r="Q44" s="167"/>
      <c r="R44" s="207" t="s">
        <v>5654</v>
      </c>
      <c r="S44" s="194">
        <f>S43-1</f>
        <v>263</v>
      </c>
      <c r="T44" s="207" t="s">
        <v>5789</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5877</v>
      </c>
      <c r="N45" s="115">
        <f>O45*P45</f>
        <v>0</v>
      </c>
      <c r="O45" s="67">
        <v>0</v>
      </c>
      <c r="P45" s="67">
        <v>410</v>
      </c>
      <c r="Q45" s="167">
        <v>67414766</v>
      </c>
      <c r="R45" s="207" t="s">
        <v>5654</v>
      </c>
      <c r="S45" s="194">
        <f>S44</f>
        <v>263</v>
      </c>
      <c r="T45" s="207" t="s">
        <v>5661</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6489</v>
      </c>
      <c r="N46" s="115">
        <f>O46*P46</f>
        <v>0</v>
      </c>
      <c r="O46" s="67">
        <v>0</v>
      </c>
      <c r="P46" s="67">
        <v>265</v>
      </c>
      <c r="Q46" s="167">
        <v>23400057</v>
      </c>
      <c r="R46" s="207" t="s">
        <v>5658</v>
      </c>
      <c r="S46" s="194">
        <f>S45-1</f>
        <v>262</v>
      </c>
      <c r="T46" s="207" t="s">
        <v>5662</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5868</v>
      </c>
      <c r="N47" s="115">
        <f t="shared" ref="N47:N55" si="26">O47*P47</f>
        <v>0</v>
      </c>
      <c r="O47" s="67">
        <v>0</v>
      </c>
      <c r="P47" s="67">
        <v>165</v>
      </c>
      <c r="Q47" s="167"/>
      <c r="R47" s="207" t="s">
        <v>5664</v>
      </c>
      <c r="S47" s="194">
        <f>S46-4</f>
        <v>258</v>
      </c>
      <c r="T47" s="207" t="s">
        <v>5665</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22160000</v>
      </c>
      <c r="M48" s="19" t="s">
        <v>4357</v>
      </c>
      <c r="N48" s="115">
        <f t="shared" si="26"/>
        <v>6946400</v>
      </c>
      <c r="O48" s="67">
        <v>457</v>
      </c>
      <c r="P48" s="67">
        <v>15200</v>
      </c>
      <c r="Q48" s="167"/>
      <c r="R48" s="207" t="s">
        <v>5666</v>
      </c>
      <c r="S48" s="194">
        <f>S47-1</f>
        <v>257</v>
      </c>
      <c r="T48" s="207" t="s">
        <v>5667</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6552</v>
      </c>
      <c r="L49" s="115">
        <v>-60000000</v>
      </c>
      <c r="M49" s="19" t="s">
        <v>4361</v>
      </c>
      <c r="N49" s="115">
        <f t="shared" si="26"/>
        <v>0</v>
      </c>
      <c r="O49" s="67">
        <v>0</v>
      </c>
      <c r="P49" s="67">
        <v>21600</v>
      </c>
      <c r="Q49" s="167"/>
      <c r="R49" s="207" t="s">
        <v>5669</v>
      </c>
      <c r="S49" s="194">
        <f>S48-2</f>
        <v>255</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5048293976</v>
      </c>
      <c r="O50" s="97">
        <v>4556222</v>
      </c>
      <c r="P50" s="97">
        <v>1108</v>
      </c>
      <c r="Q50" s="167"/>
      <c r="R50" s="207" t="s">
        <v>5685</v>
      </c>
      <c r="S50" s="194">
        <f>S49-19</f>
        <v>236</v>
      </c>
      <c r="T50" s="207" t="s">
        <v>5686</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6526</v>
      </c>
      <c r="L51" s="115">
        <v>3500000</v>
      </c>
      <c r="M51" s="19" t="s">
        <v>5915</v>
      </c>
      <c r="N51" s="111">
        <f>O51*P51</f>
        <v>38840685</v>
      </c>
      <c r="O51" s="97">
        <v>18993</v>
      </c>
      <c r="P51" s="97">
        <v>2045</v>
      </c>
      <c r="Q51" s="167"/>
      <c r="R51" s="207" t="s">
        <v>5687</v>
      </c>
      <c r="S51" s="194">
        <f>S50-1</f>
        <v>235</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0</v>
      </c>
      <c r="O52" s="97">
        <v>0</v>
      </c>
      <c r="P52" s="97">
        <v>7800</v>
      </c>
      <c r="Q52" s="167"/>
      <c r="R52" s="207" t="s">
        <v>5689</v>
      </c>
      <c r="S52" s="194">
        <f>S51-1</f>
        <v>234</v>
      </c>
      <c r="T52" s="207" t="s">
        <v>5690</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150119529</v>
      </c>
      <c r="O53" s="97">
        <v>113127</v>
      </c>
      <c r="P53" s="97">
        <v>1327</v>
      </c>
      <c r="Q53" s="167"/>
      <c r="R53" s="207" t="s">
        <v>5691</v>
      </c>
      <c r="S53" s="194">
        <f>S52-3</f>
        <v>231</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1037000</v>
      </c>
      <c r="Q54" s="167"/>
      <c r="R54" s="207" t="s">
        <v>5694</v>
      </c>
      <c r="S54" s="194">
        <f>S53-2</f>
        <v>229</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222</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202</v>
      </c>
      <c r="T56" s="207" t="s">
        <v>5722</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5761</v>
      </c>
      <c r="S57" s="194">
        <f>S56-22</f>
        <v>180</v>
      </c>
      <c r="T57" s="207" t="s">
        <v>5762</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5767</v>
      </c>
      <c r="S58" s="194">
        <f>S57-1</f>
        <v>179</v>
      </c>
      <c r="T58" s="207" t="s">
        <v>5768</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5771</v>
      </c>
      <c r="S59" s="194">
        <f>S58-4</f>
        <v>175</v>
      </c>
      <c r="T59" s="207" t="s">
        <v>5772</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5778</v>
      </c>
      <c r="S60" s="194">
        <f>S59-4</f>
        <v>171</v>
      </c>
      <c r="T60" s="207" t="s">
        <v>5782</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5780</v>
      </c>
      <c r="S61" s="194">
        <f>S59-7</f>
        <v>168</v>
      </c>
      <c r="T61" s="207" t="s">
        <v>5781</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-96101030.728128627</v>
      </c>
      <c r="P62" t="s">
        <v>25</v>
      </c>
      <c r="Q62" s="167"/>
      <c r="R62" s="207" t="s">
        <v>5784</v>
      </c>
      <c r="S62" s="194">
        <f>S61-2</f>
        <v>166</v>
      </c>
      <c r="T62" s="207" t="s">
        <v>5919</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5826</v>
      </c>
      <c r="S63" s="194">
        <f>S62-64</f>
        <v>102</v>
      </c>
      <c r="T63" s="207" t="s">
        <v>5827</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5881</v>
      </c>
      <c r="S64" s="194">
        <f>S63-29</f>
        <v>73</v>
      </c>
      <c r="T64" s="207" t="s">
        <v>5883</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3342444015.0752439</v>
      </c>
      <c r="P65" t="s">
        <v>25</v>
      </c>
      <c r="Q65" s="167"/>
      <c r="R65" s="207" t="s">
        <v>5899</v>
      </c>
      <c r="S65" s="194">
        <f>S64-3</f>
        <v>70</v>
      </c>
      <c r="T65" s="207" t="s">
        <v>5901</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5052776769.1966276</v>
      </c>
      <c r="M66" s="166"/>
      <c r="N66" s="111">
        <f>N16+N17+N35</f>
        <v>641053</v>
      </c>
      <c r="P66" t="s">
        <v>25</v>
      </c>
      <c r="Q66" s="167"/>
      <c r="R66" s="207" t="s">
        <v>5916</v>
      </c>
      <c r="S66" s="194">
        <f>S65-3</f>
        <v>67</v>
      </c>
      <c r="T66" s="207" t="s">
        <v>5918</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6451</v>
      </c>
      <c r="S67" s="194">
        <f>S66-5</f>
        <v>62</v>
      </c>
      <c r="T67" s="207" t="s">
        <v>6452</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5152776769.1966276</v>
      </c>
      <c r="O68" s="94"/>
      <c r="P68" s="120" t="s">
        <v>25</v>
      </c>
      <c r="Q68" s="167"/>
      <c r="R68" s="207" t="s">
        <v>6454</v>
      </c>
      <c r="S68" s="194">
        <f>S67-1</f>
        <v>61</v>
      </c>
      <c r="T68" s="207" t="s">
        <v>6470</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6454</v>
      </c>
      <c r="S69" s="194">
        <f>S68</f>
        <v>61</v>
      </c>
      <c r="T69" s="207" t="s">
        <v>6456</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6459</v>
      </c>
      <c r="S70" s="194">
        <f>S69-1</f>
        <v>60</v>
      </c>
      <c r="T70" s="207" t="s">
        <v>6465</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6454</v>
      </c>
      <c r="P71" s="113"/>
      <c r="Q71" s="167"/>
      <c r="R71" s="207" t="s">
        <v>6468</v>
      </c>
      <c r="S71" s="194">
        <f>S70-1</f>
        <v>59</v>
      </c>
      <c r="T71" s="207" t="s">
        <v>6471</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6457</v>
      </c>
      <c r="Q72" s="167"/>
      <c r="R72" s="207" t="s">
        <v>6468</v>
      </c>
      <c r="S72" s="194">
        <f>S71</f>
        <v>59</v>
      </c>
      <c r="T72" s="207" t="s">
        <v>6472</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6458</v>
      </c>
      <c r="Q73" s="167"/>
      <c r="R73" s="207" t="s">
        <v>6473</v>
      </c>
      <c r="S73" s="194">
        <f>S72-3</f>
        <v>56</v>
      </c>
      <c r="T73" s="207" t="s">
        <v>6474</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6464</v>
      </c>
      <c r="Q74" s="167"/>
      <c r="R74" s="207" t="s">
        <v>6475</v>
      </c>
      <c r="S74" s="194">
        <f>S73-1</f>
        <v>55</v>
      </c>
      <c r="T74" s="207" t="s">
        <v>6476</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6477</v>
      </c>
      <c r="S75" s="194">
        <f>S74-1</f>
        <v>54</v>
      </c>
      <c r="T75" s="207" t="s">
        <v>6478</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6480</v>
      </c>
      <c r="S76" s="194">
        <f>S75-2</f>
        <v>52</v>
      </c>
      <c r="T76" s="207" t="s">
        <v>6481</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6480</v>
      </c>
      <c r="S77" s="194">
        <f>S76</f>
        <v>52</v>
      </c>
      <c r="T77" s="207" t="s">
        <v>6565</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t="s">
        <v>6566</v>
      </c>
      <c r="S78" s="194">
        <f>S77-49</f>
        <v>3</v>
      </c>
      <c r="T78" s="207" t="s">
        <v>6567</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Q82" s="167">
        <f>SUM(N21:N24)-SUM(Q20:Q81)</f>
        <v>1185645181.6758094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761</v>
      </c>
      <c r="T95" s="187" t="s">
        <v>5618</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263</v>
      </c>
      <c r="T96" s="187" t="s">
        <v>5655</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5761</v>
      </c>
      <c r="S97" s="194">
        <f>S96-83</f>
        <v>180</v>
      </c>
      <c r="T97" s="187" t="s">
        <v>5763</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5771</v>
      </c>
      <c r="S98" s="194">
        <f>S97-5</f>
        <v>175</v>
      </c>
      <c r="T98" s="187" t="s">
        <v>5773</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5778</v>
      </c>
      <c r="S99" s="194">
        <f>S98-4</f>
        <v>171</v>
      </c>
      <c r="T99" s="187" t="s">
        <v>5779</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5780</v>
      </c>
      <c r="S100" s="194">
        <f>S99-3</f>
        <v>168</v>
      </c>
      <c r="T100" s="187" t="s">
        <v>5783</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5786</v>
      </c>
      <c r="S101" s="194">
        <f>S100-1</f>
        <v>167</v>
      </c>
      <c r="T101" s="187" t="s">
        <v>5787</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5784</v>
      </c>
      <c r="S102" s="194">
        <f>S101-1</f>
        <v>166</v>
      </c>
      <c r="T102" s="187" t="s">
        <v>5788</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5849</v>
      </c>
      <c r="S103" s="194">
        <f>S102-65</f>
        <v>101</v>
      </c>
      <c r="T103" s="187" t="s">
        <v>5850</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6459</v>
      </c>
      <c r="S104" s="194">
        <f>S103-41</f>
        <v>60</v>
      </c>
      <c r="T104" s="187" t="s">
        <v>6466</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9359.2057761732849</v>
      </c>
      <c r="G107" s="196">
        <f>P50</f>
        <v>1108</v>
      </c>
      <c r="H107" s="196" t="s">
        <v>4704</v>
      </c>
      <c r="I107" s="196" t="s">
        <v>5297</v>
      </c>
      <c r="J107" s="208" t="s">
        <v>4219</v>
      </c>
      <c r="K107" s="196">
        <v>210</v>
      </c>
      <c r="L107" s="209">
        <f t="shared" ref="L107:L112" si="40">K107*$L$115</f>
        <v>2177700000</v>
      </c>
      <c r="M107" s="209">
        <f>N21+N31+N50+N44</f>
        <v>8318948208</v>
      </c>
      <c r="N107" s="181">
        <f t="shared" ref="N107:N112" si="41">L107-M107</f>
        <v>-6141248208</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21600</v>
      </c>
      <c r="H108" s="207" t="s">
        <v>4863</v>
      </c>
      <c r="I108" s="207" t="s">
        <v>5298</v>
      </c>
      <c r="J108" s="32" t="s">
        <v>4361</v>
      </c>
      <c r="K108" s="207">
        <v>33</v>
      </c>
      <c r="L108" s="1">
        <f t="shared" si="40"/>
        <v>342210000</v>
      </c>
      <c r="M108" s="1">
        <f>N49+N28+N22</f>
        <v>33097703</v>
      </c>
      <c r="N108" s="111">
        <f t="shared" si="41"/>
        <v>309112297</v>
      </c>
      <c r="P108" s="94"/>
      <c r="Q108" s="111">
        <f>SUM(N28:N31)-SUM(Q87:Q107)</f>
        <v>361839110.7462979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15200</v>
      </c>
      <c r="H109" s="196" t="s">
        <v>4977</v>
      </c>
      <c r="I109" s="196" t="s">
        <v>5299</v>
      </c>
      <c r="J109" s="208" t="s">
        <v>4357</v>
      </c>
      <c r="K109" s="196">
        <v>0</v>
      </c>
      <c r="L109" s="209">
        <f t="shared" si="40"/>
        <v>0</v>
      </c>
      <c r="M109" s="209">
        <f>N48+N24</f>
        <v>44262400</v>
      </c>
      <c r="N109" s="181">
        <f t="shared" si="41"/>
        <v>-44262400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2402</v>
      </c>
      <c r="N110" s="186">
        <f t="shared" si="41"/>
        <v>-2402</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10370000</v>
      </c>
      <c r="M111" s="209">
        <v>0</v>
      </c>
      <c r="N111" s="181">
        <f t="shared" si="41"/>
        <v>10370000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563</v>
      </c>
      <c r="L112" s="240">
        <f t="shared" si="40"/>
        <v>5838310000</v>
      </c>
      <c r="M112" s="240">
        <v>0</v>
      </c>
      <c r="N112" s="84">
        <f t="shared" si="41"/>
        <v>5838310000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807</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10370000</v>
      </c>
      <c r="M115" s="1">
        <f>K115*L115</f>
        <v>0</v>
      </c>
      <c r="N115" s="111">
        <f>SUM(N107:N113)-M115</f>
        <v>-7720713</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1001</v>
      </c>
      <c r="T116" s="5" t="s">
        <v>5585</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306</v>
      </c>
      <c r="T117" s="207" t="s">
        <v>5597</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301</v>
      </c>
      <c r="T118" s="207" t="s">
        <v>5646</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265</v>
      </c>
      <c r="T119" s="207" t="s">
        <v>5649</v>
      </c>
      <c r="U119" s="207">
        <v>1715</v>
      </c>
      <c r="V119" s="97">
        <f t="shared" si="42"/>
        <v>2089.706356164384</v>
      </c>
      <c r="W119" s="32">
        <f t="shared" ref="W119" si="47">V119*(1+$W$19/100)</f>
        <v>2131.5004832876716</v>
      </c>
      <c r="X119" s="32">
        <f t="shared" ref="X119" si="48">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264</v>
      </c>
      <c r="T120" s="207" t="s">
        <v>5652</v>
      </c>
      <c r="U120" s="207">
        <v>1631</v>
      </c>
      <c r="V120" s="97">
        <f t="shared" si="42"/>
        <v>1986.1022136986303</v>
      </c>
      <c r="W120" s="32">
        <f t="shared" ref="W120:W121" si="49">V120*(1+$W$19/100)</f>
        <v>2025.8242579726029</v>
      </c>
      <c r="X120" s="32">
        <f t="shared" ref="X120:X121" si="50">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263</v>
      </c>
      <c r="T121" s="207" t="s">
        <v>5673</v>
      </c>
      <c r="U121" s="207">
        <v>1567.4</v>
      </c>
      <c r="V121" s="97">
        <f t="shared" si="42"/>
        <v>1907.4527978082197</v>
      </c>
      <c r="W121" s="32">
        <f t="shared" si="49"/>
        <v>1945.601853764384</v>
      </c>
      <c r="X121" s="32">
        <f t="shared" si="50"/>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250</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249</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248</v>
      </c>
      <c r="T124" s="207" t="s">
        <v>5729</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1108</v>
      </c>
      <c r="H125" s="97" t="s">
        <v>4219</v>
      </c>
      <c r="I125" s="97">
        <v>51250</v>
      </c>
      <c r="J125" s="1">
        <f>I125*G125</f>
        <v>56785000</v>
      </c>
      <c r="K125" s="292" t="s">
        <v>4374</v>
      </c>
      <c r="L125" s="167">
        <v>1100000</v>
      </c>
      <c r="M125" s="167">
        <v>3191000</v>
      </c>
      <c r="N125" s="166">
        <f t="shared" si="51"/>
        <v>190.09090909090909</v>
      </c>
      <c r="Q125" s="167"/>
      <c r="R125" s="207" t="s">
        <v>5734</v>
      </c>
      <c r="S125" s="207">
        <f>S124-53</f>
        <v>195</v>
      </c>
      <c r="T125" s="207" t="s">
        <v>5735</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15200</v>
      </c>
      <c r="H126" s="97" t="s">
        <v>4357</v>
      </c>
      <c r="I126" s="97">
        <v>6709</v>
      </c>
      <c r="J126" s="1">
        <f>I126*G126</f>
        <v>101976800</v>
      </c>
      <c r="K126" s="292" t="s">
        <v>4482</v>
      </c>
      <c r="L126" s="167">
        <v>1100000</v>
      </c>
      <c r="M126" s="167">
        <v>5623000</v>
      </c>
      <c r="N126" s="166">
        <f t="shared" si="51"/>
        <v>411.18181818181819</v>
      </c>
      <c r="Q126" s="167"/>
      <c r="R126" s="207" t="s">
        <v>5736</v>
      </c>
      <c r="S126" s="207">
        <f>S125-1</f>
        <v>194</v>
      </c>
      <c r="T126" s="207" t="s">
        <v>5737</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5738</v>
      </c>
      <c r="S127" s="207">
        <f>S126-1</f>
        <v>193</v>
      </c>
      <c r="T127" s="207" t="s">
        <v>5739</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5745</v>
      </c>
      <c r="S128" s="207">
        <f>S127-1</f>
        <v>192</v>
      </c>
      <c r="T128" s="207" t="s">
        <v>5746</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28761800</v>
      </c>
      <c r="J129" s="1">
        <v>0</v>
      </c>
      <c r="K129" s="245" t="s">
        <v>1070</v>
      </c>
      <c r="L129" s="167">
        <v>1100000</v>
      </c>
      <c r="M129" s="167">
        <v>3400000</v>
      </c>
      <c r="N129" s="166">
        <f t="shared" si="51"/>
        <v>209.09090909090909</v>
      </c>
      <c r="Q129" s="167"/>
      <c r="R129" s="207" t="s">
        <v>5750</v>
      </c>
      <c r="S129" s="207">
        <f>S128-4</f>
        <v>188</v>
      </c>
      <c r="T129" s="207" t="s">
        <v>5751</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5752</v>
      </c>
      <c r="S130" s="207">
        <f>S129-1</f>
        <v>187</v>
      </c>
      <c r="T130" s="207" t="s">
        <v>5753</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5754</v>
      </c>
      <c r="S131" s="207">
        <f>S130-2</f>
        <v>185</v>
      </c>
      <c r="T131" s="207" t="s">
        <v>5755</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5759</v>
      </c>
      <c r="S132" s="207">
        <f>S131-4</f>
        <v>181</v>
      </c>
      <c r="T132" s="207" t="s">
        <v>5760</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5761</v>
      </c>
      <c r="S133" s="207">
        <f>S132-1</f>
        <v>180</v>
      </c>
      <c r="T133" s="207" t="s">
        <v>6546</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5802</v>
      </c>
      <c r="S134" s="207">
        <f>S133-56</f>
        <v>124</v>
      </c>
      <c r="T134" s="207" t="s">
        <v>5806</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5807</v>
      </c>
      <c r="S135" s="207">
        <f>S134-8</f>
        <v>116</v>
      </c>
      <c r="T135" s="207" t="s">
        <v>5824</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5825</v>
      </c>
      <c r="S136" s="207">
        <f>S135-13</f>
        <v>103</v>
      </c>
      <c r="T136" s="207" t="s">
        <v>6523</v>
      </c>
      <c r="U136" s="207">
        <v>1275</v>
      </c>
      <c r="V136" s="97">
        <f t="shared" si="42"/>
        <v>1395.1224657534249</v>
      </c>
      <c r="W136" s="32">
        <f t="shared" si="56"/>
        <v>1423.0249150684933</v>
      </c>
      <c r="X136" s="32">
        <f t="shared" si="57"/>
        <v>1450.927364383562</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6488</v>
      </c>
      <c r="I137" s="210" t="s">
        <v>5704</v>
      </c>
      <c r="J137" s="1">
        <v>150000000</v>
      </c>
      <c r="Q137" s="167"/>
      <c r="R137" s="207" t="s">
        <v>5878</v>
      </c>
      <c r="S137" s="207">
        <f>S136-27</f>
        <v>76</v>
      </c>
      <c r="T137" s="207" t="s">
        <v>5879</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1">
        <f>P50</f>
        <v>1108</v>
      </c>
      <c r="H138" s="207" t="s">
        <v>4219</v>
      </c>
      <c r="I138" s="207">
        <v>20000</v>
      </c>
      <c r="J138" s="1">
        <f>G138*I138</f>
        <v>22160000</v>
      </c>
      <c r="Q138" s="167"/>
      <c r="R138" s="207" t="s">
        <v>5916</v>
      </c>
      <c r="S138" s="207">
        <f>S137-9</f>
        <v>67</v>
      </c>
      <c r="T138" s="207" t="s">
        <v>5917</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6454</v>
      </c>
      <c r="S139" s="207">
        <f>S138-6</f>
        <v>61</v>
      </c>
      <c r="T139" s="207" t="s">
        <v>6455</v>
      </c>
      <c r="U139" s="207">
        <v>1973</v>
      </c>
      <c r="V139" s="97">
        <f t="shared" si="42"/>
        <v>2095.3151890410959</v>
      </c>
      <c r="W139" s="32">
        <f t="shared" ref="W139:W155" si="59">V139*(1+$W$19/100)</f>
        <v>2137.2214928219178</v>
      </c>
      <c r="X139" s="32">
        <f t="shared" ref="X139:X155"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6459</v>
      </c>
      <c r="S140" s="207">
        <f>S139-1</f>
        <v>60</v>
      </c>
      <c r="T140" s="207" t="s">
        <v>6507</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-127840000</v>
      </c>
      <c r="J141" s="1">
        <f>SUM(J138:J139)</f>
        <v>22160000</v>
      </c>
      <c r="K141" t="s">
        <v>25</v>
      </c>
      <c r="Q141" s="167"/>
      <c r="R141" s="207" t="s">
        <v>6468</v>
      </c>
      <c r="S141" s="207">
        <f>S140-1</f>
        <v>59</v>
      </c>
      <c r="T141" s="207" t="s">
        <v>6469</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6524</v>
      </c>
      <c r="S142" s="207">
        <f>S141-34</f>
        <v>25</v>
      </c>
      <c r="T142" s="207" t="s">
        <v>6525</v>
      </c>
      <c r="U142" s="207">
        <v>1711</v>
      </c>
      <c r="V142" s="97">
        <f t="shared" ref="V142:V150"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J143" s="94"/>
      <c r="P143" t="s">
        <v>25</v>
      </c>
      <c r="Q143" s="167"/>
      <c r="R143" s="207" t="s">
        <v>6527</v>
      </c>
      <c r="S143" s="207">
        <f>S142-1</f>
        <v>24</v>
      </c>
      <c r="T143" s="207" t="s">
        <v>6528</v>
      </c>
      <c r="U143" s="207">
        <v>1711</v>
      </c>
      <c r="V143" s="97">
        <f t="shared" si="61"/>
        <v>1768.5083506849314</v>
      </c>
      <c r="W143" s="32">
        <f t="shared" si="59"/>
        <v>1803.87851769863</v>
      </c>
      <c r="X143" s="32">
        <f t="shared" si="60"/>
        <v>1839.2486847123287</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6544</v>
      </c>
      <c r="S144" s="207">
        <f>S143-4</f>
        <v>20</v>
      </c>
      <c r="T144" s="207" t="s">
        <v>6558</v>
      </c>
      <c r="U144" s="207">
        <v>1230.5</v>
      </c>
      <c r="V144" s="97">
        <f t="shared" si="61"/>
        <v>1268.0825041095893</v>
      </c>
      <c r="W144" s="32">
        <f t="shared" si="59"/>
        <v>1293.4441541917811</v>
      </c>
      <c r="X144" s="32">
        <f t="shared" si="60"/>
        <v>1318.8058042739729</v>
      </c>
      <c r="Y144" s="94"/>
      <c r="Z144" s="94">
        <v>434</v>
      </c>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6545</v>
      </c>
      <c r="S145" s="207">
        <f>S144-1</f>
        <v>19</v>
      </c>
      <c r="T145" s="207" t="s">
        <v>6547</v>
      </c>
      <c r="U145" s="207">
        <v>1064</v>
      </c>
      <c r="V145" s="97">
        <f t="shared" si="61"/>
        <v>1095.6809643835616</v>
      </c>
      <c r="W145" s="32">
        <f t="shared" si="59"/>
        <v>1117.5945836712328</v>
      </c>
      <c r="X145" s="32">
        <f t="shared" si="60"/>
        <v>1139.5082029589041</v>
      </c>
      <c r="Y145" s="94">
        <v>700</v>
      </c>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7491695</v>
      </c>
      <c r="H146" s="32" t="s">
        <v>5456</v>
      </c>
      <c r="I146" s="32">
        <f>O22+O28+O49+I139+O44</f>
        <v>63610</v>
      </c>
      <c r="J146" s="112"/>
      <c r="K146" s="94"/>
      <c r="L146" s="94"/>
      <c r="M146" s="94"/>
      <c r="Q146" s="167"/>
      <c r="R146" s="207" t="s">
        <v>6553</v>
      </c>
      <c r="S146" s="207">
        <f>S145-7</f>
        <v>12</v>
      </c>
      <c r="T146" s="207" t="s">
        <v>6554</v>
      </c>
      <c r="U146" s="207">
        <v>1060</v>
      </c>
      <c r="V146" s="97">
        <f t="shared" si="61"/>
        <v>1085.8698082191784</v>
      </c>
      <c r="W146" s="32">
        <f t="shared" si="59"/>
        <v>1107.587204383562</v>
      </c>
      <c r="X146" s="32">
        <f t="shared" si="60"/>
        <v>1129.3046005479455</v>
      </c>
      <c r="Y146" s="94">
        <v>13405</v>
      </c>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106200.58754512636</v>
      </c>
      <c r="H147" s="280" t="s">
        <v>5457</v>
      </c>
      <c r="I147" s="32">
        <f>(J138+N30+N50+N48+N31+N24+N21)/P49</f>
        <v>386345.39166666666</v>
      </c>
      <c r="J147" s="112"/>
      <c r="K147" s="94"/>
      <c r="L147" s="94" t="s">
        <v>25</v>
      </c>
      <c r="M147" s="94"/>
      <c r="P147" s="112"/>
      <c r="Q147" s="167"/>
      <c r="R147" s="207" t="s">
        <v>6556</v>
      </c>
      <c r="S147" s="207">
        <f>S146-1</f>
        <v>11</v>
      </c>
      <c r="T147" s="207" t="s">
        <v>6557</v>
      </c>
      <c r="U147" s="207">
        <v>1052.8</v>
      </c>
      <c r="V147" s="97">
        <f t="shared" si="61"/>
        <v>1077.6864613698631</v>
      </c>
      <c r="W147" s="32">
        <f t="shared" si="59"/>
        <v>1099.2401905972604</v>
      </c>
      <c r="X147" s="32">
        <f t="shared" si="60"/>
        <v>1120.7939198246577</v>
      </c>
      <c r="Y147" s="94">
        <v>392920</v>
      </c>
      <c r="Z147" s="94"/>
      <c r="AA147" s="94"/>
      <c r="AH147" s="20">
        <v>127</v>
      </c>
      <c r="AI147" s="115" t="s">
        <v>4758</v>
      </c>
      <c r="AJ147" s="115">
        <v>70000</v>
      </c>
      <c r="AK147" s="20">
        <v>9</v>
      </c>
      <c r="AL147" s="20">
        <f t="shared" si="58"/>
        <v>732</v>
      </c>
      <c r="AM147" s="115">
        <f>AJ147*AL147</f>
        <v>51240000</v>
      </c>
      <c r="AN147" s="20"/>
    </row>
    <row r="148" spans="5:44">
      <c r="G148" s="32">
        <f>G146+G147</f>
        <v>7597895.5875451267</v>
      </c>
      <c r="H148" s="32" t="s">
        <v>5458</v>
      </c>
      <c r="I148" s="32">
        <f>I146+I147</f>
        <v>449955.39166666666</v>
      </c>
      <c r="J148" s="112"/>
      <c r="K148" s="94"/>
      <c r="L148" s="94"/>
      <c r="N148" s="94"/>
      <c r="O148" s="94"/>
      <c r="Q148" s="167"/>
      <c r="R148" s="207" t="s">
        <v>6560</v>
      </c>
      <c r="S148" s="207">
        <f>S147-1</f>
        <v>10</v>
      </c>
      <c r="T148" s="207" t="s">
        <v>6561</v>
      </c>
      <c r="U148" s="207">
        <v>1028.2</v>
      </c>
      <c r="V148" s="97">
        <f t="shared" si="61"/>
        <v>1051.7162016438358</v>
      </c>
      <c r="W148" s="32">
        <f t="shared" si="59"/>
        <v>1072.7505256767126</v>
      </c>
      <c r="X148" s="32">
        <f t="shared" si="60"/>
        <v>1093.7848497095893</v>
      </c>
      <c r="Y148" s="94">
        <v>12000</v>
      </c>
      <c r="Z148" s="94"/>
      <c r="AA148" s="94"/>
      <c r="AB148" s="94"/>
      <c r="AH148" s="97">
        <v>128</v>
      </c>
      <c r="AI148" s="111" t="s">
        <v>4765</v>
      </c>
      <c r="AJ148" s="111">
        <v>20000</v>
      </c>
      <c r="AK148" s="97">
        <v>10</v>
      </c>
      <c r="AL148" s="20">
        <f t="shared" si="58"/>
        <v>723</v>
      </c>
      <c r="AM148" s="115">
        <f>AJ148*AL148</f>
        <v>14460000</v>
      </c>
      <c r="AN148" s="20"/>
      <c r="AP148" t="s">
        <v>25</v>
      </c>
    </row>
    <row r="149" spans="5:44">
      <c r="G149" s="32">
        <f>(W166+W167)/P50</f>
        <v>342169.10532921896</v>
      </c>
      <c r="H149" s="32" t="s">
        <v>5434</v>
      </c>
      <c r="I149" s="32">
        <f>(W166+W167)/P49</f>
        <v>17552.007810406234</v>
      </c>
      <c r="J149" s="112"/>
      <c r="K149" s="94"/>
      <c r="L149" s="94"/>
      <c r="M149" s="94"/>
      <c r="N149" s="94"/>
      <c r="O149" s="94"/>
      <c r="Q149" s="167"/>
      <c r="R149" s="207" t="s">
        <v>6563</v>
      </c>
      <c r="S149" s="207">
        <f>S148-4</f>
        <v>6</v>
      </c>
      <c r="T149" s="207" t="s">
        <v>6564</v>
      </c>
      <c r="U149" s="207">
        <v>1028</v>
      </c>
      <c r="V149" s="97">
        <f t="shared" si="61"/>
        <v>1048.3572164383561</v>
      </c>
      <c r="W149" s="32">
        <f t="shared" si="59"/>
        <v>1069.3243607671232</v>
      </c>
      <c r="X149" s="32">
        <f t="shared" si="60"/>
        <v>1090.2915050958904</v>
      </c>
      <c r="Y149" s="94">
        <v>10000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2663108.4681799412</v>
      </c>
      <c r="H150" s="32" t="s">
        <v>481</v>
      </c>
      <c r="I150" s="32">
        <f>W164/P49</f>
        <v>136607.60105293401</v>
      </c>
      <c r="J150" s="112"/>
      <c r="K150" s="94"/>
      <c r="L150" s="94"/>
      <c r="N150" s="94"/>
      <c r="O150" s="94"/>
      <c r="Q150" s="167"/>
      <c r="R150" s="207" t="s">
        <v>6566</v>
      </c>
      <c r="S150" s="207">
        <f>S149-3</f>
        <v>3</v>
      </c>
      <c r="T150" s="207" t="s">
        <v>6570</v>
      </c>
      <c r="U150" s="207">
        <v>1028</v>
      </c>
      <c r="V150" s="97">
        <f t="shared" si="61"/>
        <v>1045.9914082191781</v>
      </c>
      <c r="W150" s="32">
        <f t="shared" si="59"/>
        <v>1066.9112363835616</v>
      </c>
      <c r="X150" s="32">
        <f t="shared" si="60"/>
        <v>1087.8310645479453</v>
      </c>
      <c r="Y150" s="94">
        <v>154000</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4592618.0140359662</v>
      </c>
      <c r="H151" s="32" t="s">
        <v>5</v>
      </c>
      <c r="I151" s="32">
        <f>I148-I149-I150</f>
        <v>295795.78280332644</v>
      </c>
      <c r="J151" s="112"/>
      <c r="K151" s="94"/>
      <c r="L151" s="94"/>
      <c r="M151" t="s">
        <v>25</v>
      </c>
      <c r="N151" s="94"/>
      <c r="O151" s="94"/>
      <c r="Q151" s="167"/>
      <c r="R151" s="207" t="s">
        <v>6568</v>
      </c>
      <c r="S151" s="207">
        <f>S150-3</f>
        <v>0</v>
      </c>
      <c r="T151" s="207" t="s">
        <v>6569</v>
      </c>
      <c r="U151" s="207">
        <v>1212</v>
      </c>
      <c r="V151" s="97"/>
      <c r="W151" s="32"/>
      <c r="X151" s="32"/>
      <c r="Y151" s="94"/>
      <c r="Z151" s="94">
        <v>845</v>
      </c>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c r="S153" s="207"/>
      <c r="T153" s="207"/>
      <c r="U153" s="207"/>
      <c r="V153" s="97"/>
      <c r="W153" s="32"/>
      <c r="X153" s="32"/>
      <c r="Y153" s="94"/>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t="s">
        <v>25</v>
      </c>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3406793719.36867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2664373</v>
      </c>
      <c r="U164" s="285" t="s">
        <v>744</v>
      </c>
      <c r="V164" s="285">
        <v>1493032</v>
      </c>
      <c r="W164" s="88">
        <f>V164*$T$504</f>
        <v>2950724182.7433748</v>
      </c>
      <c r="X164">
        <f>W164*100/$W$170</f>
        <v>34.643050806321185</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5187659175.1966276</v>
      </c>
      <c r="X165" s="94">
        <f>W165*100/$W$170</f>
        <v>60.905841834775451</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1532510</v>
      </c>
      <c r="U166" s="285" t="s">
        <v>4409</v>
      </c>
      <c r="V166" s="285">
        <v>48626</v>
      </c>
      <c r="W166" s="88">
        <f>V166*$T$504</f>
        <v>96101030.728128627</v>
      </c>
      <c r="X166" s="94">
        <f>W166*100/$W$170</f>
        <v>1.1282765463219635</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283022337.97664601</v>
      </c>
      <c r="X167" s="94">
        <f>W167*100/$W$170</f>
        <v>3.3228308125813992</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-39478</v>
      </c>
      <c r="W170" s="140">
        <f>SUM(W164:W167)</f>
        <v>8517506726.6447773</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5859</v>
      </c>
      <c r="W171" s="140">
        <f>R182-W167</f>
        <v>111729806.02335399</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5858</v>
      </c>
      <c r="W172" s="140">
        <f>W166-W171</f>
        <v>-15628775.295225367</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-55146591.551850319</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5284510738</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2990241999</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394752144</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793</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6559</v>
      </c>
      <c r="R188" s="93">
        <v>-73978994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6555</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8595528289</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5924</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5741</v>
      </c>
      <c r="R233" s="187" t="s">
        <v>5738</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5748</v>
      </c>
      <c r="R234" s="187" t="s">
        <v>5745</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5757</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5853</v>
      </c>
      <c r="R236" s="187" t="s">
        <v>5849</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5886</v>
      </c>
      <c r="R237" s="187" t="s">
        <v>5881</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5881</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6483</v>
      </c>
      <c r="R239" s="19" t="s">
        <v>6480</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5728</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5738</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5745</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5849</v>
      </c>
      <c r="AJ247" s="111">
        <v>33833075</v>
      </c>
      <c r="AK247" s="97">
        <v>18</v>
      </c>
      <c r="AL247" s="20">
        <f t="shared" si="74"/>
        <v>95</v>
      </c>
      <c r="AM247" s="115">
        <f t="shared" si="75"/>
        <v>3214142125</v>
      </c>
      <c r="AN247" s="20" t="s">
        <v>5853</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5866</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5881</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5894</v>
      </c>
      <c r="AJ250" s="111">
        <v>100000000</v>
      </c>
      <c r="AK250" s="97">
        <v>0</v>
      </c>
      <c r="AL250" s="20">
        <f t="shared" si="74"/>
        <v>66</v>
      </c>
      <c r="AM250" s="115"/>
      <c r="AN250" s="20" t="s">
        <v>5895</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5894</v>
      </c>
      <c r="AJ251" s="111">
        <v>-100000000</v>
      </c>
      <c r="AK251" s="97">
        <v>1</v>
      </c>
      <c r="AL251" s="20">
        <f t="shared" si="74"/>
        <v>66</v>
      </c>
      <c r="AM251" s="115"/>
      <c r="AN251" s="264" t="s">
        <v>5896</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5897</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5897</v>
      </c>
      <c r="AJ253" s="111">
        <v>-90000000</v>
      </c>
      <c r="AK253" s="97">
        <v>1</v>
      </c>
      <c r="AL253" s="20">
        <f t="shared" si="74"/>
        <v>65</v>
      </c>
      <c r="AM253" s="115"/>
      <c r="AN253" s="264" t="s">
        <v>5898</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5899</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5899</v>
      </c>
      <c r="AJ255" s="111">
        <v>-30000000</v>
      </c>
      <c r="AK255" s="97">
        <v>3</v>
      </c>
      <c r="AL255" s="20">
        <f t="shared" si="74"/>
        <v>64</v>
      </c>
      <c r="AM255" s="115"/>
      <c r="AN255" s="264" t="s">
        <v>5900</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5916</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5920</v>
      </c>
      <c r="AJ257" s="111">
        <v>-50000000</v>
      </c>
      <c r="AK257" s="97">
        <v>5</v>
      </c>
      <c r="AL257" s="20">
        <f t="shared" si="74"/>
        <v>60</v>
      </c>
      <c r="AM257" s="115"/>
      <c r="AN257" s="264" t="s">
        <v>5921</v>
      </c>
      <c r="AP257" t="s">
        <v>25</v>
      </c>
    </row>
    <row r="258" spans="7:45">
      <c r="G258" s="207" t="s">
        <v>5727</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6454</v>
      </c>
      <c r="AJ258" s="111">
        <v>10000</v>
      </c>
      <c r="AK258" s="97">
        <v>1</v>
      </c>
      <c r="AL258" s="20">
        <f t="shared" si="74"/>
        <v>55</v>
      </c>
      <c r="AM258" s="115"/>
      <c r="AN258" s="264"/>
    </row>
    <row r="259" spans="7:45" ht="15" customHeight="1">
      <c r="G259" s="207" t="s">
        <v>5728</v>
      </c>
      <c r="H259" s="111">
        <v>710713.17725199996</v>
      </c>
      <c r="Q259" s="97" t="s">
        <v>4598</v>
      </c>
      <c r="R259" s="93">
        <v>6650895</v>
      </c>
      <c r="T259" s="207" t="s">
        <v>4942</v>
      </c>
      <c r="U259" s="207">
        <v>1194</v>
      </c>
      <c r="V259" s="111">
        <v>335</v>
      </c>
      <c r="W259" s="111">
        <f t="shared" si="67"/>
        <v>399990</v>
      </c>
      <c r="X259" s="97" t="s">
        <v>744</v>
      </c>
      <c r="AH259" s="97">
        <v>239</v>
      </c>
      <c r="AI259" s="111" t="s">
        <v>6459</v>
      </c>
      <c r="AJ259" s="111">
        <v>50000000</v>
      </c>
      <c r="AK259" s="97">
        <v>43</v>
      </c>
      <c r="AL259" s="20">
        <f t="shared" si="74"/>
        <v>54</v>
      </c>
      <c r="AM259" s="115"/>
      <c r="AN259" s="264" t="s">
        <v>5354</v>
      </c>
    </row>
    <row r="260" spans="7:45">
      <c r="G260" s="207" t="s">
        <v>5730</v>
      </c>
      <c r="H260" s="111">
        <v>81025</v>
      </c>
      <c r="J260" t="s">
        <v>25</v>
      </c>
      <c r="Q260" s="97" t="s">
        <v>4614</v>
      </c>
      <c r="R260" s="93">
        <v>2145814</v>
      </c>
      <c r="T260" s="207" t="s">
        <v>4949</v>
      </c>
      <c r="U260" s="207">
        <v>433</v>
      </c>
      <c r="V260" s="111">
        <v>345.68</v>
      </c>
      <c r="W260" s="111">
        <f t="shared" si="67"/>
        <v>149679.44</v>
      </c>
      <c r="X260" s="97" t="s">
        <v>744</v>
      </c>
      <c r="AH260" s="97">
        <v>240</v>
      </c>
      <c r="AI260" s="111" t="s">
        <v>6548</v>
      </c>
      <c r="AJ260" s="111">
        <v>50000000</v>
      </c>
      <c r="AK260" s="97">
        <v>10</v>
      </c>
      <c r="AL260" s="20">
        <f t="shared" si="74"/>
        <v>11</v>
      </c>
      <c r="AM260" s="115"/>
      <c r="AN260" s="264" t="s">
        <v>6549</v>
      </c>
    </row>
    <row r="261" spans="7:45">
      <c r="G261" s="207" t="s">
        <v>5733</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6562</v>
      </c>
      <c r="AJ261" s="111">
        <v>8200000</v>
      </c>
      <c r="AK261" s="97">
        <v>1</v>
      </c>
      <c r="AL261" s="20">
        <f t="shared" si="74"/>
        <v>1</v>
      </c>
      <c r="AM261" s="115"/>
      <c r="AN261" s="264" t="s">
        <v>6549</v>
      </c>
      <c r="AR261" t="s">
        <v>25</v>
      </c>
      <c r="AS261" t="s">
        <v>25</v>
      </c>
    </row>
    <row r="262" spans="7:45">
      <c r="G262" s="207" t="s">
        <v>5734</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5736</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5738</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5750</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5752</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5754</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5759</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5761</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5767</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5774</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5786</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5796</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5797</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5798</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5799</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5284511531</v>
      </c>
      <c r="AM276" t="s">
        <v>25</v>
      </c>
    </row>
    <row r="277" spans="7:40">
      <c r="G277" s="207" t="s">
        <v>5801</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4737830581.9384365</v>
      </c>
      <c r="AM277" t="s">
        <v>25</v>
      </c>
    </row>
    <row r="278" spans="7:40" ht="30">
      <c r="G278" s="207" t="s">
        <v>5803</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5804</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4481153235.9963369</v>
      </c>
      <c r="AN279" t="s">
        <v>25</v>
      </c>
    </row>
    <row r="280" spans="7:40">
      <c r="G280" s="207" t="s">
        <v>5807</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5820</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5823</v>
      </c>
      <c r="H282" s="111">
        <v>558320.40202399995</v>
      </c>
      <c r="Q282" s="97" t="s">
        <v>5063</v>
      </c>
      <c r="R282" s="93">
        <v>300000</v>
      </c>
      <c r="T282" s="207" t="s">
        <v>5063</v>
      </c>
      <c r="U282" s="207">
        <v>671</v>
      </c>
      <c r="V282" s="111">
        <v>447</v>
      </c>
      <c r="W282" s="111">
        <f t="shared" si="76"/>
        <v>299937</v>
      </c>
      <c r="X282" s="36" t="s">
        <v>744</v>
      </c>
    </row>
    <row r="283" spans="7:40">
      <c r="G283" s="207" t="s">
        <v>5825</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5864</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5865</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5866</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5871</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5916</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5920</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6468</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6477</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6480</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6484</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6488</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t="s">
        <v>6566</v>
      </c>
      <c r="H295" s="111">
        <v>15777944</v>
      </c>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5854</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5881</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5903</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5904</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6454</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6480</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1467373281.2390366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5885</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5925</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5723</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5727</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5728</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5730</v>
      </c>
      <c r="U437" s="19">
        <v>35</v>
      </c>
      <c r="V437" s="115">
        <v>2315</v>
      </c>
      <c r="W437" s="115">
        <f t="shared" si="92"/>
        <v>81025</v>
      </c>
      <c r="X437" s="264" t="s">
        <v>5732</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5733</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5734</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5736</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5738</v>
      </c>
      <c r="U441" s="187">
        <v>-32</v>
      </c>
      <c r="V441" s="186">
        <v>2221.2123710000001</v>
      </c>
      <c r="W441" s="186">
        <f t="shared" si="92"/>
        <v>-71078.795872000002</v>
      </c>
      <c r="X441" s="263" t="s">
        <v>5742</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5738</v>
      </c>
      <c r="U442" s="19">
        <v>157</v>
      </c>
      <c r="V442" s="115">
        <v>2221.2123710000001</v>
      </c>
      <c r="W442" s="115">
        <f t="shared" si="92"/>
        <v>348730.34224700002</v>
      </c>
      <c r="X442" s="264" t="s">
        <v>5743</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5738</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5745</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5750</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5752</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5754</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5757</v>
      </c>
      <c r="U448" s="187">
        <v>42393</v>
      </c>
      <c r="V448" s="186">
        <v>2124.4852740000001</v>
      </c>
      <c r="W448" s="186">
        <f t="shared" si="92"/>
        <v>90063304.22068201</v>
      </c>
      <c r="X448" s="263" t="s">
        <v>5758</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5759</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5761</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5767</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5774</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5786</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5796</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5797</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5798</v>
      </c>
      <c r="U456" s="19">
        <v>848</v>
      </c>
      <c r="V456" s="115">
        <v>1768.97966</v>
      </c>
      <c r="W456" s="115">
        <f t="shared" si="92"/>
        <v>1500094.75168</v>
      </c>
      <c r="X456" s="264" t="s">
        <v>5114</v>
      </c>
      <c r="AH456" s="20">
        <v>170</v>
      </c>
      <c r="AI456" s="20" t="s">
        <v>5728</v>
      </c>
      <c r="AJ456" s="115">
        <v>20000</v>
      </c>
      <c r="AK456" s="20">
        <v>0</v>
      </c>
      <c r="AL456" s="20">
        <f t="shared" si="105"/>
        <v>127</v>
      </c>
      <c r="AM456" s="20">
        <f t="shared" si="106"/>
        <v>2540000</v>
      </c>
      <c r="AN456" s="20"/>
    </row>
    <row r="457" spans="17:44">
      <c r="Q457" s="97" t="s">
        <v>5659</v>
      </c>
      <c r="R457" s="93">
        <v>242957252.40163299</v>
      </c>
      <c r="T457" s="19" t="s">
        <v>5799</v>
      </c>
      <c r="U457" s="19">
        <v>3824</v>
      </c>
      <c r="V457" s="115">
        <v>1890.8547169999999</v>
      </c>
      <c r="W457" s="115">
        <f t="shared" si="92"/>
        <v>7230628.4378079996</v>
      </c>
      <c r="X457" s="264" t="s">
        <v>5114</v>
      </c>
      <c r="AH457" s="192">
        <v>171</v>
      </c>
      <c r="AI457" s="192" t="s">
        <v>5728</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5801</v>
      </c>
      <c r="U458" s="19">
        <v>14010</v>
      </c>
      <c r="V458" s="115">
        <v>2124.7244390000001</v>
      </c>
      <c r="W458" s="115">
        <f t="shared" si="92"/>
        <v>29767389.390390001</v>
      </c>
      <c r="X458" s="264" t="s">
        <v>5114</v>
      </c>
      <c r="AA458" t="s">
        <v>25</v>
      </c>
      <c r="AH458" s="147">
        <v>172</v>
      </c>
      <c r="AI458" s="147" t="s">
        <v>5738</v>
      </c>
      <c r="AJ458" s="186">
        <v>70000</v>
      </c>
      <c r="AK458" s="147">
        <v>0</v>
      </c>
      <c r="AL458" s="147">
        <f t="shared" si="107"/>
        <v>120</v>
      </c>
      <c r="AM458" s="147">
        <f t="shared" si="108"/>
        <v>8400000</v>
      </c>
      <c r="AN458" s="147"/>
    </row>
    <row r="459" spans="17:44">
      <c r="Q459" s="97" t="s">
        <v>5664</v>
      </c>
      <c r="R459" s="93">
        <v>14951411.942400001</v>
      </c>
      <c r="T459" s="19" t="s">
        <v>5802</v>
      </c>
      <c r="U459" s="19">
        <v>73</v>
      </c>
      <c r="V459" s="115">
        <v>2076.1678900000002</v>
      </c>
      <c r="W459" s="115">
        <f t="shared" si="92"/>
        <v>151560.25597</v>
      </c>
      <c r="X459" s="264" t="s">
        <v>5114</v>
      </c>
      <c r="AH459" s="20">
        <v>173</v>
      </c>
      <c r="AI459" s="20" t="s">
        <v>5738</v>
      </c>
      <c r="AJ459" s="115">
        <v>70000</v>
      </c>
      <c r="AK459" s="20">
        <v>1</v>
      </c>
      <c r="AL459" s="20">
        <f t="shared" si="107"/>
        <v>120</v>
      </c>
      <c r="AM459" s="20">
        <f t="shared" si="108"/>
        <v>8400000</v>
      </c>
      <c r="AN459" s="20"/>
    </row>
    <row r="460" spans="17:44">
      <c r="Q460" s="97" t="s">
        <v>5666</v>
      </c>
      <c r="R460" s="93">
        <v>47928209.377011999</v>
      </c>
      <c r="T460" s="19" t="s">
        <v>5804</v>
      </c>
      <c r="U460" s="19">
        <v>236</v>
      </c>
      <c r="V460" s="115">
        <v>2039.4867830000001</v>
      </c>
      <c r="W460" s="115">
        <f t="shared" si="92"/>
        <v>481318.88078800001</v>
      </c>
      <c r="X460" s="264" t="s">
        <v>5114</v>
      </c>
      <c r="AH460" s="20">
        <v>174</v>
      </c>
      <c r="AI460" s="20" t="s">
        <v>5745</v>
      </c>
      <c r="AJ460" s="115">
        <v>330000</v>
      </c>
      <c r="AK460" s="20">
        <v>0</v>
      </c>
      <c r="AL460" s="20">
        <f t="shared" si="107"/>
        <v>119</v>
      </c>
      <c r="AM460" s="20">
        <f t="shared" si="108"/>
        <v>39270000</v>
      </c>
      <c r="AN460" s="20"/>
    </row>
    <row r="461" spans="17:44">
      <c r="Q461" s="97" t="s">
        <v>5668</v>
      </c>
      <c r="R461" s="93">
        <v>2281595.69937</v>
      </c>
      <c r="T461" s="19" t="s">
        <v>5807</v>
      </c>
      <c r="U461" s="19">
        <v>75</v>
      </c>
      <c r="V461" s="115">
        <v>1950.3675760000001</v>
      </c>
      <c r="W461" s="115">
        <f t="shared" si="92"/>
        <v>146277.56820000001</v>
      </c>
      <c r="X461" s="264" t="s">
        <v>5114</v>
      </c>
      <c r="AH461" s="147">
        <v>175</v>
      </c>
      <c r="AI461" s="147" t="s">
        <v>5745</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5820</v>
      </c>
      <c r="U462" s="19">
        <v>232</v>
      </c>
      <c r="V462" s="115">
        <v>1830.5750069999999</v>
      </c>
      <c r="W462" s="115">
        <f t="shared" si="92"/>
        <v>424693.40162399999</v>
      </c>
      <c r="X462" s="264" t="s">
        <v>5114</v>
      </c>
      <c r="Y462" t="s">
        <v>25</v>
      </c>
      <c r="AH462" s="147">
        <v>176</v>
      </c>
      <c r="AI462" s="147" t="s">
        <v>5757</v>
      </c>
      <c r="AJ462" s="186">
        <v>90000000</v>
      </c>
      <c r="AK462" s="147">
        <v>16</v>
      </c>
      <c r="AL462" s="147">
        <f t="shared" si="109"/>
        <v>109</v>
      </c>
      <c r="AM462" s="147">
        <f t="shared" si="110"/>
        <v>9810000000</v>
      </c>
      <c r="AN462" s="147"/>
    </row>
    <row r="463" spans="17:44">
      <c r="Q463" s="97" t="s">
        <v>5671</v>
      </c>
      <c r="R463" s="93">
        <v>6460549.4269619994</v>
      </c>
      <c r="T463" s="19" t="s">
        <v>5823</v>
      </c>
      <c r="U463" s="19">
        <v>308</v>
      </c>
      <c r="V463" s="115">
        <v>1812.728578</v>
      </c>
      <c r="W463" s="115">
        <f t="shared" si="92"/>
        <v>558320.40202399995</v>
      </c>
      <c r="X463" s="264" t="s">
        <v>5114</v>
      </c>
      <c r="Y463" t="s">
        <v>25</v>
      </c>
      <c r="AH463" s="147">
        <v>177</v>
      </c>
      <c r="AI463" s="147" t="s">
        <v>5784</v>
      </c>
      <c r="AJ463" s="186">
        <v>-15000000</v>
      </c>
      <c r="AK463" s="147">
        <v>65</v>
      </c>
      <c r="AL463" s="147">
        <f t="shared" si="109"/>
        <v>93</v>
      </c>
      <c r="AM463" s="147">
        <f t="shared" si="110"/>
        <v>-1395000000</v>
      </c>
      <c r="AN463" s="147" t="s">
        <v>5785</v>
      </c>
    </row>
    <row r="464" spans="17:44">
      <c r="Q464" s="97" t="s">
        <v>5674</v>
      </c>
      <c r="R464" s="93">
        <v>5212319.8968359996</v>
      </c>
      <c r="T464" s="19" t="s">
        <v>5825</v>
      </c>
      <c r="U464" s="19">
        <v>106</v>
      </c>
      <c r="V464" s="115">
        <v>1958.8888869</v>
      </c>
      <c r="W464" s="115">
        <f t="shared" si="92"/>
        <v>207642.22201140001</v>
      </c>
      <c r="X464" s="264" t="s">
        <v>5114</v>
      </c>
      <c r="AA464" t="s">
        <v>25</v>
      </c>
      <c r="AH464" s="147">
        <v>178</v>
      </c>
      <c r="AI464" s="147" t="s">
        <v>5849</v>
      </c>
      <c r="AJ464" s="186">
        <v>33833075</v>
      </c>
      <c r="AK464" s="147">
        <v>0</v>
      </c>
      <c r="AL464" s="147">
        <f t="shared" si="109"/>
        <v>28</v>
      </c>
      <c r="AM464" s="147">
        <f t="shared" si="110"/>
        <v>947326100</v>
      </c>
      <c r="AN464" s="147" t="s">
        <v>5853</v>
      </c>
      <c r="AR464" t="s">
        <v>25</v>
      </c>
    </row>
    <row r="465" spans="17:45">
      <c r="Q465" s="97" t="s">
        <v>5676</v>
      </c>
      <c r="R465" s="93">
        <v>4524496.4792809999</v>
      </c>
      <c r="T465" s="19" t="s">
        <v>5849</v>
      </c>
      <c r="U465" s="19">
        <v>17050</v>
      </c>
      <c r="V465" s="115">
        <v>1984.311475</v>
      </c>
      <c r="W465" s="115">
        <f t="shared" si="92"/>
        <v>33832510.64875</v>
      </c>
      <c r="X465" s="264" t="s">
        <v>5851</v>
      </c>
      <c r="Y465" t="s">
        <v>25</v>
      </c>
      <c r="AH465" s="20">
        <v>197</v>
      </c>
      <c r="AI465" s="20" t="s">
        <v>5849</v>
      </c>
      <c r="AJ465" s="115">
        <v>20033075</v>
      </c>
      <c r="AK465" s="20">
        <v>28</v>
      </c>
      <c r="AL465" s="20">
        <f t="shared" si="109"/>
        <v>28</v>
      </c>
      <c r="AM465" s="20">
        <f t="shared" si="110"/>
        <v>560926100</v>
      </c>
      <c r="AN465" s="20" t="s">
        <v>5853</v>
      </c>
      <c r="AR465" t="s">
        <v>25</v>
      </c>
    </row>
    <row r="466" spans="17:45">
      <c r="Q466" s="97" t="s">
        <v>5678</v>
      </c>
      <c r="R466" s="93">
        <v>22866040.240959998</v>
      </c>
      <c r="T466" s="19" t="s">
        <v>5849</v>
      </c>
      <c r="U466" s="19">
        <v>17050</v>
      </c>
      <c r="V466" s="115">
        <v>1984.311475</v>
      </c>
      <c r="W466" s="115">
        <f t="shared" si="92"/>
        <v>33832510.64875</v>
      </c>
      <c r="X466" s="264" t="s">
        <v>5852</v>
      </c>
      <c r="Y466" t="s">
        <v>25</v>
      </c>
      <c r="AH466" s="147">
        <v>198</v>
      </c>
      <c r="AI466" s="147" t="s">
        <v>5881</v>
      </c>
      <c r="AJ466" s="186">
        <v>-22520813.151772</v>
      </c>
      <c r="AK466" s="147">
        <v>0</v>
      </c>
      <c r="AL466" s="147">
        <f>AK466+AL477</f>
        <v>0</v>
      </c>
      <c r="AM466" s="147">
        <f t="shared" si="110"/>
        <v>0</v>
      </c>
      <c r="AN466" s="147" t="s">
        <v>5891</v>
      </c>
    </row>
    <row r="467" spans="17:45">
      <c r="Q467" s="97" t="s">
        <v>5680</v>
      </c>
      <c r="R467" s="93">
        <v>15359304.269892</v>
      </c>
      <c r="T467" s="19" t="s">
        <v>5854</v>
      </c>
      <c r="U467" s="19">
        <v>9659</v>
      </c>
      <c r="V467" s="115">
        <v>2073.8685089999999</v>
      </c>
      <c r="W467" s="115">
        <f t="shared" si="92"/>
        <v>20031495.928431001</v>
      </c>
      <c r="X467" s="264" t="s">
        <v>5855</v>
      </c>
      <c r="Y467" t="s">
        <v>25</v>
      </c>
      <c r="AH467" s="20">
        <v>199</v>
      </c>
      <c r="AI467" s="20" t="s">
        <v>5881</v>
      </c>
      <c r="AJ467" s="115">
        <v>-204353015</v>
      </c>
      <c r="AK467" s="20">
        <v>0</v>
      </c>
      <c r="AL467" s="20">
        <f t="shared" ref="AL467:AL477" si="111">AK467+AL468</f>
        <v>41</v>
      </c>
      <c r="AM467" s="20">
        <f t="shared" ref="AM467:AM477" si="112">AJ467*AL467</f>
        <v>-8378473615</v>
      </c>
      <c r="AN467" s="20" t="s">
        <v>5892</v>
      </c>
      <c r="AS467" t="s">
        <v>25</v>
      </c>
    </row>
    <row r="468" spans="17:45">
      <c r="Q468" s="97" t="s">
        <v>5681</v>
      </c>
      <c r="R468" s="93">
        <v>2868508.1846330003</v>
      </c>
      <c r="T468" s="19" t="s">
        <v>5864</v>
      </c>
      <c r="U468" s="19">
        <v>323</v>
      </c>
      <c r="V468" s="115">
        <v>1975.162028</v>
      </c>
      <c r="W468" s="115">
        <f t="shared" si="92"/>
        <v>637977.33504399995</v>
      </c>
      <c r="X468" s="264" t="s">
        <v>5114</v>
      </c>
      <c r="AH468" s="20">
        <v>200</v>
      </c>
      <c r="AI468" s="20" t="s">
        <v>5881</v>
      </c>
      <c r="AJ468" s="115">
        <v>50000000</v>
      </c>
      <c r="AK468" s="20">
        <v>1</v>
      </c>
      <c r="AL468" s="20">
        <f t="shared" si="111"/>
        <v>41</v>
      </c>
      <c r="AM468" s="20">
        <f t="shared" si="112"/>
        <v>2050000000</v>
      </c>
      <c r="AN468" s="20" t="s">
        <v>5893</v>
      </c>
    </row>
    <row r="469" spans="17:45">
      <c r="Q469" s="97" t="s">
        <v>5682</v>
      </c>
      <c r="R469" s="93">
        <v>17450393.011856001</v>
      </c>
      <c r="T469" s="19" t="s">
        <v>5865</v>
      </c>
      <c r="U469" s="19">
        <v>238</v>
      </c>
      <c r="V469" s="115">
        <v>1960.303598</v>
      </c>
      <c r="W469" s="115">
        <f t="shared" si="92"/>
        <v>466552.25632400002</v>
      </c>
      <c r="X469" s="264" t="s">
        <v>5114</v>
      </c>
      <c r="Z469" t="s">
        <v>25</v>
      </c>
      <c r="AH469" s="20">
        <v>201</v>
      </c>
      <c r="AI469" s="20" t="s">
        <v>5899</v>
      </c>
      <c r="AJ469" s="115">
        <v>50000000</v>
      </c>
      <c r="AK469" s="20">
        <v>8</v>
      </c>
      <c r="AL469" s="20">
        <f t="shared" si="111"/>
        <v>40</v>
      </c>
      <c r="AM469" s="20">
        <f t="shared" si="112"/>
        <v>2000000000</v>
      </c>
      <c r="AN469" s="20" t="s">
        <v>5893</v>
      </c>
    </row>
    <row r="470" spans="17:45">
      <c r="Q470" s="97" t="s">
        <v>5683</v>
      </c>
      <c r="R470" s="93">
        <v>31388943.254850004</v>
      </c>
      <c r="T470" s="19" t="s">
        <v>5866</v>
      </c>
      <c r="U470" s="19">
        <v>75</v>
      </c>
      <c r="V470" s="115">
        <v>1990.893174</v>
      </c>
      <c r="W470" s="115">
        <f t="shared" si="92"/>
        <v>149316.98805000001</v>
      </c>
      <c r="X470" s="264" t="s">
        <v>5867</v>
      </c>
      <c r="Z470" t="s">
        <v>25</v>
      </c>
      <c r="AH470" s="20">
        <v>202</v>
      </c>
      <c r="AI470" s="20" t="s">
        <v>6451</v>
      </c>
      <c r="AJ470" s="115">
        <v>30000000</v>
      </c>
      <c r="AK470" s="20">
        <v>2</v>
      </c>
      <c r="AL470" s="20">
        <f t="shared" si="111"/>
        <v>32</v>
      </c>
      <c r="AM470" s="20">
        <f t="shared" si="112"/>
        <v>960000000</v>
      </c>
      <c r="AN470" s="20" t="s">
        <v>6453</v>
      </c>
    </row>
    <row r="471" spans="17:45">
      <c r="Q471" s="97" t="s">
        <v>5685</v>
      </c>
      <c r="R471" s="93">
        <v>30912095.373174001</v>
      </c>
      <c r="T471" s="19" t="s">
        <v>5866</v>
      </c>
      <c r="U471" s="19">
        <v>95</v>
      </c>
      <c r="V471" s="115">
        <v>1990.893174</v>
      </c>
      <c r="W471" s="115">
        <f t="shared" si="92"/>
        <v>189134.85153000001</v>
      </c>
      <c r="X471" s="264" t="s">
        <v>5114</v>
      </c>
      <c r="Z471" t="s">
        <v>25</v>
      </c>
      <c r="AH471" s="147">
        <v>203</v>
      </c>
      <c r="AI471" s="147" t="s">
        <v>6459</v>
      </c>
      <c r="AJ471" s="186">
        <v>20000000</v>
      </c>
      <c r="AK471" s="147">
        <v>29</v>
      </c>
      <c r="AL471" s="147">
        <f t="shared" si="111"/>
        <v>30</v>
      </c>
      <c r="AM471" s="147">
        <f t="shared" si="112"/>
        <v>600000000</v>
      </c>
      <c r="AN471" s="147" t="s">
        <v>6460</v>
      </c>
    </row>
    <row r="472" spans="17:45">
      <c r="Q472" s="97" t="s">
        <v>5689</v>
      </c>
      <c r="R472" s="93">
        <v>19602926.115093999</v>
      </c>
      <c r="T472" s="19" t="s">
        <v>5871</v>
      </c>
      <c r="U472" s="19">
        <v>284</v>
      </c>
      <c r="V472" s="115">
        <v>1989.045169</v>
      </c>
      <c r="W472" s="115">
        <f t="shared" si="92"/>
        <v>564888.82799599995</v>
      </c>
      <c r="X472" s="264" t="s">
        <v>5114</v>
      </c>
      <c r="Z472" t="s">
        <v>25</v>
      </c>
      <c r="AH472" s="147">
        <v>204</v>
      </c>
      <c r="AI472" s="147" t="s">
        <v>6508</v>
      </c>
      <c r="AJ472" s="186">
        <v>-20000000</v>
      </c>
      <c r="AK472" s="147">
        <v>0</v>
      </c>
      <c r="AL472" s="147">
        <f t="shared" si="111"/>
        <v>1</v>
      </c>
      <c r="AM472" s="147">
        <f t="shared" si="112"/>
        <v>-20000000</v>
      </c>
      <c r="AN472" s="147" t="s">
        <v>6509</v>
      </c>
    </row>
    <row r="473" spans="17:45" ht="30">
      <c r="Q473" s="97" t="s">
        <v>5691</v>
      </c>
      <c r="R473" s="93">
        <v>34458590.308710001</v>
      </c>
      <c r="T473" s="187" t="s">
        <v>5881</v>
      </c>
      <c r="U473" s="187">
        <v>11034</v>
      </c>
      <c r="V473" s="186">
        <v>1960.6845390000001</v>
      </c>
      <c r="W473" s="186">
        <f t="shared" si="92"/>
        <v>21634193.203326002</v>
      </c>
      <c r="X473" s="263" t="s">
        <v>5887</v>
      </c>
      <c r="Z473" t="s">
        <v>25</v>
      </c>
      <c r="AH473" s="147">
        <v>205</v>
      </c>
      <c r="AI473" s="147" t="s">
        <v>6508</v>
      </c>
      <c r="AJ473" s="186">
        <v>2000000</v>
      </c>
      <c r="AK473" s="147">
        <v>1</v>
      </c>
      <c r="AL473" s="147">
        <f t="shared" si="111"/>
        <v>1</v>
      </c>
      <c r="AM473" s="147">
        <f t="shared" si="112"/>
        <v>2000000</v>
      </c>
      <c r="AN473" s="147" t="s">
        <v>6510</v>
      </c>
    </row>
    <row r="474" spans="17:45" ht="30">
      <c r="Q474" s="97" t="s">
        <v>5693</v>
      </c>
      <c r="R474" s="93">
        <v>21697868.203256</v>
      </c>
      <c r="T474" s="19" t="s">
        <v>5881</v>
      </c>
      <c r="U474" s="19">
        <v>4469</v>
      </c>
      <c r="V474" s="115">
        <v>1960.6845390000001</v>
      </c>
      <c r="W474" s="115">
        <f t="shared" si="92"/>
        <v>8762299.2047910001</v>
      </c>
      <c r="X474" s="264" t="s">
        <v>5888</v>
      </c>
      <c r="Z474" t="s">
        <v>25</v>
      </c>
      <c r="AH474" s="20"/>
      <c r="AI474" s="20"/>
      <c r="AJ474" s="115"/>
      <c r="AK474" s="20"/>
      <c r="AL474" s="20">
        <f t="shared" si="111"/>
        <v>0</v>
      </c>
      <c r="AM474" s="20">
        <f t="shared" si="112"/>
        <v>0</v>
      </c>
      <c r="AN474" s="20"/>
    </row>
    <row r="475" spans="17:45">
      <c r="Q475" s="97" t="s">
        <v>5694</v>
      </c>
      <c r="R475" s="93">
        <v>25340079.252110001</v>
      </c>
      <c r="T475" s="19" t="s">
        <v>5881</v>
      </c>
      <c r="U475" s="19">
        <v>-174834</v>
      </c>
      <c r="V475" s="115">
        <v>1955.271154</v>
      </c>
      <c r="W475" s="115">
        <f t="shared" si="92"/>
        <v>-341847876.93843603</v>
      </c>
      <c r="X475" s="264" t="s">
        <v>5889</v>
      </c>
      <c r="AH475" s="20"/>
      <c r="AI475" s="20"/>
      <c r="AJ475" s="115"/>
      <c r="AK475" s="20"/>
      <c r="AL475" s="20">
        <f t="shared" si="111"/>
        <v>0</v>
      </c>
      <c r="AM475" s="20">
        <f t="shared" si="112"/>
        <v>0</v>
      </c>
      <c r="AN475" s="20"/>
    </row>
    <row r="476" spans="17:45">
      <c r="Q476" s="97" t="s">
        <v>5697</v>
      </c>
      <c r="R476" s="93">
        <v>14780983.183526</v>
      </c>
      <c r="T476" s="19" t="s">
        <v>5881</v>
      </c>
      <c r="U476" s="19">
        <v>-78942</v>
      </c>
      <c r="V476" s="115">
        <v>1955.271154</v>
      </c>
      <c r="W476" s="115">
        <f t="shared" si="92"/>
        <v>-154353015.43906799</v>
      </c>
      <c r="X476" s="264" t="s">
        <v>5890</v>
      </c>
      <c r="Z476" t="s">
        <v>25</v>
      </c>
      <c r="AA476" t="s">
        <v>25</v>
      </c>
      <c r="AH476" s="20"/>
      <c r="AI476" s="20"/>
      <c r="AJ476" s="115"/>
      <c r="AK476" s="20"/>
      <c r="AL476" s="20">
        <f t="shared" si="111"/>
        <v>0</v>
      </c>
      <c r="AM476" s="20">
        <f t="shared" si="112"/>
        <v>0</v>
      </c>
      <c r="AN476" s="20"/>
    </row>
    <row r="477" spans="17:45">
      <c r="Q477" s="97" t="s">
        <v>5697</v>
      </c>
      <c r="R477" s="93">
        <v>17804396.448481999</v>
      </c>
      <c r="T477" s="187" t="s">
        <v>5881</v>
      </c>
      <c r="U477" s="187">
        <v>-11518</v>
      </c>
      <c r="V477" s="186">
        <v>1955.271154</v>
      </c>
      <c r="W477" s="186">
        <f t="shared" si="92"/>
        <v>-22520813.151772</v>
      </c>
      <c r="X477" s="263" t="s">
        <v>5891</v>
      </c>
      <c r="AH477" s="97"/>
      <c r="AI477" s="97"/>
      <c r="AJ477" s="115"/>
      <c r="AK477" s="97"/>
      <c r="AL477" s="20">
        <f t="shared" si="111"/>
        <v>0</v>
      </c>
      <c r="AM477" s="20">
        <f t="shared" si="112"/>
        <v>0</v>
      </c>
      <c r="AN477" s="20"/>
    </row>
    <row r="478" spans="17:45">
      <c r="Q478" s="97" t="s">
        <v>5701</v>
      </c>
      <c r="R478" s="93">
        <v>260260000</v>
      </c>
      <c r="T478" s="19" t="s">
        <v>5903</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5904</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5916</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5920</v>
      </c>
      <c r="U481" s="19">
        <v>140</v>
      </c>
      <c r="V481" s="115">
        <v>1928.2522289999999</v>
      </c>
      <c r="W481" s="115">
        <f t="shared" si="92"/>
        <v>269955.31205999997</v>
      </c>
      <c r="X481" s="264" t="s">
        <v>5114</v>
      </c>
      <c r="Y481" t="s">
        <v>25</v>
      </c>
      <c r="AA481" t="s">
        <v>25</v>
      </c>
    </row>
    <row r="482" spans="17:40">
      <c r="Q482" s="97" t="s">
        <v>5718</v>
      </c>
      <c r="R482" s="93">
        <v>6822803.9080700008</v>
      </c>
      <c r="T482" s="19" t="s">
        <v>6454</v>
      </c>
      <c r="U482" s="19">
        <v>15839</v>
      </c>
      <c r="V482" s="115">
        <v>1893.9957079999999</v>
      </c>
      <c r="W482" s="115">
        <f t="shared" si="92"/>
        <v>29998998.019012</v>
      </c>
      <c r="X482" s="264" t="s">
        <v>6453</v>
      </c>
      <c r="Z482" t="s">
        <v>25</v>
      </c>
      <c r="AI482" t="s">
        <v>4045</v>
      </c>
      <c r="AJ482" s="112">
        <f>AJ479+AN479</f>
        <v>323780714.39298034</v>
      </c>
      <c r="AM482" t="s">
        <v>25</v>
      </c>
    </row>
    <row r="483" spans="17:40">
      <c r="Q483" s="97" t="s">
        <v>5727</v>
      </c>
      <c r="R483" s="93">
        <v>330889.73324399994</v>
      </c>
      <c r="T483" s="19" t="s">
        <v>6459</v>
      </c>
      <c r="U483" s="19">
        <v>26601</v>
      </c>
      <c r="V483" s="115">
        <v>1880.082026</v>
      </c>
      <c r="W483" s="115">
        <f t="shared" si="92"/>
        <v>50012061.973626003</v>
      </c>
      <c r="X483" s="264" t="s">
        <v>5354</v>
      </c>
      <c r="AI483" t="s">
        <v>4048</v>
      </c>
      <c r="AJ483" s="112">
        <f>SUM(N20:N31)</f>
        <v>3384995752</v>
      </c>
    </row>
    <row r="484" spans="17:40">
      <c r="Q484" s="97" t="s">
        <v>5728</v>
      </c>
      <c r="R484" s="93">
        <v>6610318.1610199995</v>
      </c>
      <c r="T484" s="187" t="s">
        <v>6459</v>
      </c>
      <c r="U484" s="187">
        <v>10637</v>
      </c>
      <c r="V484" s="186">
        <v>1880.082026</v>
      </c>
      <c r="W484" s="186">
        <f t="shared" si="92"/>
        <v>19998432.510561999</v>
      </c>
      <c r="X484" s="263" t="s">
        <v>6460</v>
      </c>
      <c r="Y484" t="s">
        <v>25</v>
      </c>
      <c r="AI484" t="s">
        <v>4118</v>
      </c>
      <c r="AJ484" s="112">
        <f>AJ483-AJ479</f>
        <v>3183203075.151772</v>
      </c>
    </row>
    <row r="485" spans="17:40">
      <c r="Q485" s="97" t="s">
        <v>5730</v>
      </c>
      <c r="R485" s="93">
        <v>710713.17725199996</v>
      </c>
      <c r="T485" s="19" t="s">
        <v>6468</v>
      </c>
      <c r="U485" s="19">
        <v>306</v>
      </c>
      <c r="V485" s="115">
        <v>1831.8117119999999</v>
      </c>
      <c r="W485" s="115">
        <f t="shared" si="92"/>
        <v>560534.38387200003</v>
      </c>
      <c r="X485" s="264" t="s">
        <v>5114</v>
      </c>
      <c r="Y485" t="s">
        <v>25</v>
      </c>
      <c r="AI485" t="s">
        <v>928</v>
      </c>
      <c r="AJ485" s="112">
        <f>AN479</f>
        <v>121988037.54475237</v>
      </c>
    </row>
    <row r="486" spans="17:40">
      <c r="Q486" s="97" t="s">
        <v>5733</v>
      </c>
      <c r="R486" s="93">
        <v>81025</v>
      </c>
      <c r="T486" s="19" t="s">
        <v>6477</v>
      </c>
      <c r="U486" s="19">
        <v>325</v>
      </c>
      <c r="V486" s="115">
        <v>1789.1845169999999</v>
      </c>
      <c r="W486" s="115">
        <f t="shared" si="92"/>
        <v>581484.96802499995</v>
      </c>
      <c r="X486" s="264" t="s">
        <v>5114</v>
      </c>
      <c r="Z486" t="s">
        <v>25</v>
      </c>
      <c r="AI486" t="s">
        <v>4049</v>
      </c>
      <c r="AJ486" s="112">
        <f>AJ484-AJ485</f>
        <v>3061215037.6070194</v>
      </c>
      <c r="AM486" t="s">
        <v>25</v>
      </c>
      <c r="AN486" t="s">
        <v>25</v>
      </c>
    </row>
    <row r="487" spans="17:40">
      <c r="Q487" s="97" t="s">
        <v>5734</v>
      </c>
      <c r="R487" s="93">
        <v>219696.613128</v>
      </c>
      <c r="T487" s="19" t="s">
        <v>6480</v>
      </c>
      <c r="U487" s="19">
        <v>1154</v>
      </c>
      <c r="V487" s="115">
        <v>1851.788857</v>
      </c>
      <c r="W487" s="115">
        <f t="shared" si="92"/>
        <v>2136964.3409779998</v>
      </c>
      <c r="X487" s="264" t="s">
        <v>5114</v>
      </c>
      <c r="Z487" t="s">
        <v>25</v>
      </c>
      <c r="AA487" t="s">
        <v>25</v>
      </c>
      <c r="AL487" t="s">
        <v>25</v>
      </c>
      <c r="AM487" t="s">
        <v>25</v>
      </c>
      <c r="AN487" t="s">
        <v>25</v>
      </c>
    </row>
    <row r="488" spans="17:40" ht="30">
      <c r="Q488" s="97" t="s">
        <v>5736</v>
      </c>
      <c r="R488" s="93">
        <v>6035472.4070199998</v>
      </c>
      <c r="T488" s="19" t="s">
        <v>6480</v>
      </c>
      <c r="U488" s="19">
        <v>3240</v>
      </c>
      <c r="V488" s="115">
        <v>1851.788857</v>
      </c>
      <c r="W488" s="115">
        <f t="shared" si="92"/>
        <v>5999795.8966800002</v>
      </c>
      <c r="X488" s="264" t="s">
        <v>6482</v>
      </c>
    </row>
    <row r="489" spans="17:40">
      <c r="Q489" s="97" t="s">
        <v>5738</v>
      </c>
      <c r="R489" s="93">
        <v>984486.34963200008</v>
      </c>
      <c r="T489" s="19" t="s">
        <v>6480</v>
      </c>
      <c r="U489" s="19">
        <v>-3240</v>
      </c>
      <c r="V489" s="115">
        <v>1851.788857</v>
      </c>
      <c r="W489" s="115">
        <f t="shared" si="92"/>
        <v>-5999795.8966800002</v>
      </c>
      <c r="X489" s="264" t="s">
        <v>6483</v>
      </c>
      <c r="Z489" t="s">
        <v>25</v>
      </c>
      <c r="AA489" t="s">
        <v>25</v>
      </c>
    </row>
    <row r="490" spans="17:40">
      <c r="Q490" s="97" t="s">
        <v>5750</v>
      </c>
      <c r="R490" s="93">
        <v>2143469.938015</v>
      </c>
      <c r="T490" s="19" t="s">
        <v>6484</v>
      </c>
      <c r="U490" s="19">
        <v>330</v>
      </c>
      <c r="V490" s="115">
        <v>1799.34311</v>
      </c>
      <c r="W490" s="115">
        <f t="shared" si="92"/>
        <v>593783.22629999998</v>
      </c>
      <c r="X490" s="264" t="s">
        <v>5114</v>
      </c>
      <c r="AN490" t="s">
        <v>25</v>
      </c>
    </row>
    <row r="491" spans="17:40">
      <c r="Q491" s="97" t="s">
        <v>5752</v>
      </c>
      <c r="R491" s="93">
        <v>3085460.5177150001</v>
      </c>
      <c r="T491" s="19" t="s">
        <v>6488</v>
      </c>
      <c r="U491" s="19">
        <v>266</v>
      </c>
      <c r="V491" s="115">
        <v>1764.9246700000001</v>
      </c>
      <c r="W491" s="115">
        <f t="shared" si="92"/>
        <v>469469.96222000004</v>
      </c>
      <c r="X491" s="264" t="s">
        <v>5114</v>
      </c>
      <c r="Y491" t="s">
        <v>25</v>
      </c>
      <c r="AA491" t="s">
        <v>25</v>
      </c>
      <c r="AN491" t="s">
        <v>25</v>
      </c>
    </row>
    <row r="492" spans="17:40">
      <c r="Q492" s="97" t="s">
        <v>5754</v>
      </c>
      <c r="R492" s="93">
        <v>8261456.790906</v>
      </c>
      <c r="T492" s="187" t="s">
        <v>6508</v>
      </c>
      <c r="U492" s="187">
        <v>-10637</v>
      </c>
      <c r="V492" s="186">
        <v>1739.5916549999999</v>
      </c>
      <c r="W492" s="186">
        <f t="shared" si="92"/>
        <v>-18504036.434234999</v>
      </c>
      <c r="X492" s="263" t="s">
        <v>6511</v>
      </c>
      <c r="Y492" t="s">
        <v>25</v>
      </c>
      <c r="AA492" t="s">
        <v>25</v>
      </c>
      <c r="AB492" t="s">
        <v>25</v>
      </c>
    </row>
    <row r="493" spans="17:40">
      <c r="Q493" s="97" t="s">
        <v>5759</v>
      </c>
      <c r="R493" s="93">
        <v>6572373.7593120001</v>
      </c>
      <c r="T493" s="19" t="s">
        <v>6508</v>
      </c>
      <c r="U493" s="19">
        <v>10637</v>
      </c>
      <c r="V493" s="115">
        <v>1739.5916549999999</v>
      </c>
      <c r="W493" s="115">
        <f t="shared" si="92"/>
        <v>18504036.434234999</v>
      </c>
      <c r="X493" s="264" t="s">
        <v>6512</v>
      </c>
    </row>
    <row r="494" spans="17:40" ht="30">
      <c r="Q494" s="97" t="s">
        <v>5761</v>
      </c>
      <c r="R494" s="93">
        <v>2893243.5730909999</v>
      </c>
      <c r="T494" s="19" t="s">
        <v>6566</v>
      </c>
      <c r="U494" s="19">
        <v>39478</v>
      </c>
      <c r="V494" s="115">
        <v>1873.903047</v>
      </c>
      <c r="W494" s="115">
        <f t="shared" si="92"/>
        <v>73977944.489465997</v>
      </c>
      <c r="X494" s="264" t="s">
        <v>6571</v>
      </c>
    </row>
    <row r="495" spans="17:40">
      <c r="Q495" s="97" t="s">
        <v>5767</v>
      </c>
      <c r="R495" s="93">
        <v>94992058.939007998</v>
      </c>
      <c r="T495" s="19"/>
      <c r="U495" s="19"/>
      <c r="V495" s="115"/>
      <c r="W495" s="115"/>
      <c r="X495" s="264"/>
      <c r="Y495" t="s">
        <v>25</v>
      </c>
      <c r="AA495" t="s">
        <v>25</v>
      </c>
    </row>
    <row r="496" spans="17:40">
      <c r="Q496" s="97" t="s">
        <v>5774</v>
      </c>
      <c r="R496" s="93">
        <v>275021.925965</v>
      </c>
      <c r="T496" s="19"/>
      <c r="U496" s="19"/>
      <c r="V496" s="115"/>
      <c r="W496" s="115"/>
      <c r="X496" s="264"/>
      <c r="Z496" t="s">
        <v>25</v>
      </c>
      <c r="AA496" t="s">
        <v>25</v>
      </c>
    </row>
    <row r="497" spans="17:28">
      <c r="Q497" s="97" t="s">
        <v>5786</v>
      </c>
      <c r="R497" s="93">
        <v>327451.9203</v>
      </c>
      <c r="T497" s="19"/>
      <c r="U497" s="19"/>
      <c r="V497" s="115"/>
      <c r="W497" s="115"/>
      <c r="X497" s="264"/>
      <c r="Y497" t="s">
        <v>25</v>
      </c>
      <c r="Z497" t="s">
        <v>25</v>
      </c>
    </row>
    <row r="498" spans="17:28">
      <c r="Q498" s="97" t="s">
        <v>5796</v>
      </c>
      <c r="R498" s="93">
        <v>260081.94096800001</v>
      </c>
      <c r="T498" s="19"/>
      <c r="U498" s="19"/>
      <c r="V498" s="115"/>
      <c r="W498" s="115">
        <f t="shared" si="92"/>
        <v>0</v>
      </c>
      <c r="X498" s="264"/>
      <c r="Y498" t="s">
        <v>25</v>
      </c>
      <c r="AA498" t="s">
        <v>25</v>
      </c>
    </row>
    <row r="499" spans="17:28">
      <c r="Q499" s="97" t="s">
        <v>5797</v>
      </c>
      <c r="R499" s="93">
        <v>2909284.5308940001</v>
      </c>
      <c r="T499" s="19"/>
      <c r="U499" s="19"/>
      <c r="V499" s="115"/>
      <c r="W499" s="115">
        <f t="shared" si="92"/>
        <v>0</v>
      </c>
      <c r="X499" s="264"/>
      <c r="Y499" t="s">
        <v>25</v>
      </c>
      <c r="AA499" t="s">
        <v>25</v>
      </c>
    </row>
    <row r="500" spans="17:28">
      <c r="Q500" s="97" t="s">
        <v>5798</v>
      </c>
      <c r="R500" s="93">
        <v>37723205.094084002</v>
      </c>
      <c r="T500" s="97"/>
      <c r="U500" s="166"/>
      <c r="V500" s="111"/>
      <c r="W500" s="115">
        <f t="shared" si="92"/>
        <v>0</v>
      </c>
      <c r="X500" s="97"/>
    </row>
    <row r="501" spans="17:28">
      <c r="Q501" s="97" t="s">
        <v>5799</v>
      </c>
      <c r="R501" s="93">
        <v>1500094.75168</v>
      </c>
      <c r="T501" s="166"/>
      <c r="U501" s="166">
        <f>SUM(U179:U500)</f>
        <v>4349237</v>
      </c>
      <c r="V501" s="97"/>
      <c r="W501" s="97"/>
      <c r="X501" s="97"/>
      <c r="AB501" t="s">
        <v>25</v>
      </c>
    </row>
    <row r="502" spans="17:28">
      <c r="Q502" s="97" t="s">
        <v>5801</v>
      </c>
      <c r="R502" s="93">
        <v>7230628.4378079996</v>
      </c>
      <c r="T502" s="97"/>
      <c r="U502" s="97" t="s">
        <v>6</v>
      </c>
      <c r="V502" s="97"/>
      <c r="W502" s="97"/>
      <c r="X502" s="97"/>
    </row>
    <row r="503" spans="17:28">
      <c r="Q503" s="97" t="s">
        <v>5802</v>
      </c>
      <c r="R503" s="93">
        <v>29767389.390390001</v>
      </c>
      <c r="T503" s="197" t="s">
        <v>4438</v>
      </c>
      <c r="Y503" t="s">
        <v>25</v>
      </c>
    </row>
    <row r="504" spans="17:28">
      <c r="Q504" s="97" t="s">
        <v>5804</v>
      </c>
      <c r="R504" s="93">
        <v>151560.25597</v>
      </c>
      <c r="T504" s="196">
        <f>R195/U501</f>
        <v>1976.3301675673226</v>
      </c>
      <c r="X504" t="s">
        <v>25</v>
      </c>
    </row>
    <row r="505" spans="17:28">
      <c r="Q505" s="97" t="s">
        <v>5807</v>
      </c>
      <c r="R505" s="93">
        <v>481318.88078800001</v>
      </c>
      <c r="W505" s="112"/>
      <c r="X505">
        <v>26601</v>
      </c>
      <c r="Z505" t="s">
        <v>25</v>
      </c>
    </row>
    <row r="506" spans="17:28">
      <c r="Q506" s="97" t="s">
        <v>5820</v>
      </c>
      <c r="R506" s="93">
        <v>146277.56820000001</v>
      </c>
      <c r="U506" s="94" t="s">
        <v>267</v>
      </c>
      <c r="V506" t="s">
        <v>4439</v>
      </c>
      <c r="X506" t="s">
        <v>25</v>
      </c>
    </row>
    <row r="507" spans="17:28">
      <c r="Q507" s="97" t="s">
        <v>5823</v>
      </c>
      <c r="R507" s="93">
        <v>424693.40162399999</v>
      </c>
      <c r="T507" s="112"/>
      <c r="U507" s="93">
        <v>-73978994</v>
      </c>
      <c r="V507">
        <f>U507/T504</f>
        <v>-37432.507591108224</v>
      </c>
      <c r="X507" t="s">
        <v>25</v>
      </c>
    </row>
    <row r="508" spans="17:28">
      <c r="Q508" s="97" t="s">
        <v>5825</v>
      </c>
      <c r="R508" s="93">
        <v>558320.40202399995</v>
      </c>
      <c r="T508" t="s">
        <v>25</v>
      </c>
      <c r="X508" t="s">
        <v>25</v>
      </c>
    </row>
    <row r="509" spans="17:28">
      <c r="Q509" s="97" t="s">
        <v>5849</v>
      </c>
      <c r="R509" s="93">
        <v>207642.22201140001</v>
      </c>
      <c r="T509" t="s">
        <v>25</v>
      </c>
      <c r="U509" s="94" t="s">
        <v>25</v>
      </c>
      <c r="V509" s="22"/>
      <c r="W509" s="214"/>
      <c r="X509" s="273" t="s">
        <v>25</v>
      </c>
    </row>
    <row r="510" spans="17:28">
      <c r="Q510" s="97" t="s">
        <v>5849</v>
      </c>
      <c r="R510" s="93">
        <v>33832510.64875</v>
      </c>
      <c r="V510" t="s">
        <v>25</v>
      </c>
      <c r="X510" t="s">
        <v>25</v>
      </c>
    </row>
    <row r="511" spans="17:28">
      <c r="Q511" s="97" t="s">
        <v>5864</v>
      </c>
      <c r="R511" s="93">
        <v>637977.33504399995</v>
      </c>
      <c r="W511" s="112"/>
      <c r="X511" t="s">
        <v>25</v>
      </c>
    </row>
    <row r="512" spans="17:28" ht="60">
      <c r="Q512" s="97" t="s">
        <v>5865</v>
      </c>
      <c r="R512" s="93">
        <v>466552.25632400002</v>
      </c>
      <c r="T512" s="22" t="s">
        <v>4424</v>
      </c>
      <c r="V512" s="214"/>
    </row>
    <row r="513" spans="16:24" ht="45">
      <c r="Q513" s="97" t="s">
        <v>5866</v>
      </c>
      <c r="R513" s="93">
        <v>149316.98805000001</v>
      </c>
      <c r="T513" s="22" t="s">
        <v>4425</v>
      </c>
      <c r="W513" s="273"/>
    </row>
    <row r="514" spans="16:24">
      <c r="P514" t="s">
        <v>25</v>
      </c>
      <c r="Q514" s="97" t="s">
        <v>5866</v>
      </c>
      <c r="R514" s="93">
        <v>189134.85153000001</v>
      </c>
    </row>
    <row r="515" spans="16:24">
      <c r="Q515" s="97" t="s">
        <v>5871</v>
      </c>
      <c r="R515" s="93">
        <v>564888.82799599995</v>
      </c>
    </row>
    <row r="516" spans="16:24">
      <c r="Q516" s="97" t="s">
        <v>5881</v>
      </c>
      <c r="R516" s="93">
        <v>8762299.2047910001</v>
      </c>
      <c r="T516" s="97" t="s">
        <v>4440</v>
      </c>
      <c r="U516" s="97" t="s">
        <v>4419</v>
      </c>
      <c r="V516" s="97" t="s">
        <v>938</v>
      </c>
      <c r="W516" s="72" t="s">
        <v>5553</v>
      </c>
    </row>
    <row r="517" spans="16:24">
      <c r="Q517" s="97" t="s">
        <v>5881</v>
      </c>
      <c r="R517" s="93">
        <v>-341847876.93843603</v>
      </c>
      <c r="T517" s="93">
        <f>S242+R310+R531</f>
        <v>2470990552.2846694</v>
      </c>
      <c r="U517" s="93">
        <f>R195</f>
        <v>8595528289</v>
      </c>
      <c r="V517" s="93">
        <f>U517-T517</f>
        <v>6124537736.7153301</v>
      </c>
    </row>
    <row r="518" spans="16:24">
      <c r="Q518" s="97" t="s">
        <v>5916</v>
      </c>
      <c r="R518" s="93">
        <v>259993.58394100002</v>
      </c>
      <c r="W518" s="94" t="s">
        <v>25</v>
      </c>
    </row>
    <row r="519" spans="16:24">
      <c r="Q519" s="97" t="s">
        <v>5920</v>
      </c>
      <c r="R519" s="93">
        <v>269955.31205999997</v>
      </c>
    </row>
    <row r="520" spans="16:24">
      <c r="Q520" s="97" t="s">
        <v>6468</v>
      </c>
      <c r="R520" s="93">
        <v>560534.38387200003</v>
      </c>
      <c r="T520" s="115"/>
      <c r="V520" s="112">
        <f>(444000000+2500000)*2/3</f>
        <v>297666666.66666669</v>
      </c>
    </row>
    <row r="521" spans="16:24">
      <c r="Q521" s="97" t="s">
        <v>6477</v>
      </c>
      <c r="R521" s="93">
        <v>581484.96802499995</v>
      </c>
    </row>
    <row r="522" spans="16:24">
      <c r="Q522" s="97" t="s">
        <v>6480</v>
      </c>
      <c r="R522" s="93">
        <v>2136964.3409779998</v>
      </c>
      <c r="T522" s="112">
        <f>W325+W326+W328+W329+W331+W332</f>
        <v>-301699041.74755996</v>
      </c>
    </row>
    <row r="523" spans="16:24">
      <c r="Q523" s="97" t="s">
        <v>6484</v>
      </c>
      <c r="R523" s="93">
        <v>593783.22629999998</v>
      </c>
      <c r="T523" t="s">
        <v>25</v>
      </c>
    </row>
    <row r="524" spans="16:24">
      <c r="Q524" s="97" t="s">
        <v>6488</v>
      </c>
      <c r="R524" s="93">
        <v>469469.96222000004</v>
      </c>
      <c r="T524" s="112">
        <f>V520+T522</f>
        <v>-4032375.0808932781</v>
      </c>
    </row>
    <row r="525" spans="16:24">
      <c r="Q525" s="97" t="s">
        <v>6566</v>
      </c>
      <c r="R525" s="93">
        <v>73977944.489465997</v>
      </c>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2208547989.8453302</v>
      </c>
      <c r="T531" s="97" t="s">
        <v>452</v>
      </c>
      <c r="U531" s="97">
        <v>4217700</v>
      </c>
      <c r="V531" s="35">
        <f>U531*80</f>
        <v>337416000</v>
      </c>
      <c r="W531" s="94" t="s">
        <v>25</v>
      </c>
    </row>
    <row r="532" spans="17:24">
      <c r="R532" s="97" t="s">
        <v>6</v>
      </c>
      <c r="T532" s="97" t="s">
        <v>5884</v>
      </c>
      <c r="U532" s="97">
        <v>2527652</v>
      </c>
      <c r="V532" s="49">
        <f>U532*80-50000000</f>
        <v>152212160</v>
      </c>
      <c r="X532" t="s">
        <v>25</v>
      </c>
    </row>
    <row r="533" spans="17:24">
      <c r="T533" s="97" t="s">
        <v>5861</v>
      </c>
      <c r="U533" s="97">
        <v>47381</v>
      </c>
      <c r="V533" s="35">
        <f t="shared" ref="V533" si="113">U533*80</f>
        <v>3790480</v>
      </c>
    </row>
    <row r="534" spans="17:24">
      <c r="Q534" t="s">
        <v>25</v>
      </c>
      <c r="T534" s="97" t="s">
        <v>1071</v>
      </c>
      <c r="U534" s="97">
        <v>226303</v>
      </c>
      <c r="V534" s="186">
        <f>U534*80</f>
        <v>18104240</v>
      </c>
    </row>
    <row r="535" spans="17:24">
      <c r="T535" s="97" t="s">
        <v>5860</v>
      </c>
      <c r="U535" s="97">
        <v>8020</v>
      </c>
      <c r="V535" s="35">
        <f>U535*80</f>
        <v>641600</v>
      </c>
    </row>
    <row r="536" spans="17:24">
      <c r="Q536" t="s">
        <v>25</v>
      </c>
      <c r="R536" t="s">
        <v>25</v>
      </c>
      <c r="T536" s="97" t="s">
        <v>5856</v>
      </c>
      <c r="U536" s="97">
        <v>55215</v>
      </c>
      <c r="V536" s="186">
        <f>U536*80</f>
        <v>4417200</v>
      </c>
    </row>
    <row r="537" spans="17:24">
      <c r="R537" t="s">
        <v>25</v>
      </c>
      <c r="T537" s="97" t="s">
        <v>5857</v>
      </c>
      <c r="U537" s="97">
        <v>26770</v>
      </c>
      <c r="V537" s="49">
        <f>U537*80</f>
        <v>2141600</v>
      </c>
    </row>
    <row r="538" spans="17:24">
      <c r="Q538" s="112"/>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4 S142 S146"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6" sqref="R6"/>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5749</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1.423841059602649</v>
      </c>
      <c r="J1" s="20">
        <f t="shared" ref="J1:J30" si="2">I1/H1</f>
        <v>1.1477419544021905</v>
      </c>
      <c r="K1" s="97">
        <f t="shared" ref="K1:K27" si="3">(1/J1-1.0256)*100</f>
        <v>-15.432401660976403</v>
      </c>
      <c r="L1" s="20"/>
      <c r="M1" s="20"/>
      <c r="N1" s="20">
        <v>1</v>
      </c>
      <c r="P1" s="94"/>
      <c r="Q1" s="67" t="s">
        <v>5915</v>
      </c>
      <c r="R1" s="317">
        <v>2013</v>
      </c>
      <c r="S1" s="94" t="s">
        <v>5862</v>
      </c>
      <c r="T1" s="94" t="s">
        <v>5863</v>
      </c>
      <c r="U1" s="94"/>
      <c r="V1" s="94"/>
      <c r="W1" s="94"/>
      <c r="X1" s="5" t="s">
        <v>6493</v>
      </c>
      <c r="Y1" s="5" t="s">
        <v>6494</v>
      </c>
      <c r="Z1" s="5" t="s">
        <v>267</v>
      </c>
      <c r="AA1" s="94"/>
      <c r="AB1" s="94"/>
      <c r="AC1" s="94"/>
    </row>
    <row r="2" spans="1:29" ht="21">
      <c r="A2" s="274" t="s">
        <v>5761</v>
      </c>
      <c r="B2" s="274" t="s">
        <v>4361</v>
      </c>
      <c r="C2" s="275">
        <v>21532</v>
      </c>
      <c r="D2" s="274">
        <v>3145</v>
      </c>
      <c r="E2" s="60" t="s">
        <v>4357</v>
      </c>
      <c r="F2" s="49">
        <v>16385.3</v>
      </c>
      <c r="G2" s="60">
        <f t="shared" si="0"/>
        <v>4081.0777289299676</v>
      </c>
      <c r="H2" s="204">
        <f t="shared" si="1"/>
        <v>1.314104715812344</v>
      </c>
      <c r="I2" s="290">
        <f>$R$5/$R$4</f>
        <v>1.423841059602649</v>
      </c>
      <c r="J2" s="20">
        <f t="shared" si="2"/>
        <v>1.083506544394728</v>
      </c>
      <c r="K2" s="97">
        <f t="shared" si="3"/>
        <v>-10.267064145272586</v>
      </c>
      <c r="L2" s="20" t="s">
        <v>25</v>
      </c>
      <c r="M2" s="20"/>
      <c r="N2" s="20">
        <f>H2/H1</f>
        <v>1.0592847457542085</v>
      </c>
      <c r="P2" s="94"/>
      <c r="Q2" s="97" t="s">
        <v>4219</v>
      </c>
      <c r="R2" s="284">
        <v>1071</v>
      </c>
      <c r="S2" s="94">
        <v>80</v>
      </c>
      <c r="T2" s="112">
        <v>1099</v>
      </c>
      <c r="U2" s="94">
        <f>S2/T2</f>
        <v>7.2793448589626927E-2</v>
      </c>
      <c r="V2" s="94"/>
      <c r="W2" s="94"/>
      <c r="X2" s="5" t="s">
        <v>744</v>
      </c>
      <c r="Y2" s="5" t="s">
        <v>6495</v>
      </c>
      <c r="Z2" s="35">
        <v>50000000</v>
      </c>
      <c r="AA2" s="94"/>
      <c r="AB2" s="94"/>
      <c r="AC2" s="94"/>
    </row>
    <row r="3" spans="1:29" ht="21">
      <c r="A3" s="274" t="s">
        <v>5761</v>
      </c>
      <c r="B3" s="274" t="s">
        <v>4361</v>
      </c>
      <c r="C3" s="275">
        <v>21532</v>
      </c>
      <c r="D3" s="274">
        <v>3490</v>
      </c>
      <c r="E3" s="60" t="s">
        <v>4357</v>
      </c>
      <c r="F3" s="49">
        <v>16237</v>
      </c>
      <c r="G3" s="60">
        <f t="shared" si="0"/>
        <v>4570.1268043870505</v>
      </c>
      <c r="H3" s="204">
        <f t="shared" si="1"/>
        <v>1.3261070394777361</v>
      </c>
      <c r="I3" s="290">
        <f>$R$5/$R$4</f>
        <v>1.423841059602649</v>
      </c>
      <c r="J3" s="20">
        <f t="shared" si="2"/>
        <v>1.0736999482058429</v>
      </c>
      <c r="K3" s="97">
        <f t="shared" si="3"/>
        <v>-9.4241102506334222</v>
      </c>
      <c r="L3" s="20"/>
      <c r="M3" s="20"/>
      <c r="N3" s="20">
        <f>H3/H2</f>
        <v>1.0091334606146456</v>
      </c>
      <c r="P3" s="113"/>
      <c r="Q3" s="97" t="s">
        <v>5278</v>
      </c>
      <c r="R3" s="299">
        <v>1315</v>
      </c>
      <c r="S3" s="113"/>
      <c r="T3" s="113"/>
      <c r="U3" s="113"/>
      <c r="V3" s="113"/>
      <c r="W3" s="113"/>
      <c r="X3" s="5" t="s">
        <v>452</v>
      </c>
      <c r="Y3" s="5" t="s">
        <v>6496</v>
      </c>
      <c r="Z3" s="35">
        <v>180000000</v>
      </c>
      <c r="AA3" s="113"/>
      <c r="AB3" s="113"/>
      <c r="AC3" s="113"/>
    </row>
    <row r="4" spans="1:29" ht="21">
      <c r="A4" s="274" t="s">
        <v>5761</v>
      </c>
      <c r="B4" s="274" t="s">
        <v>4361</v>
      </c>
      <c r="C4" s="275">
        <v>21532</v>
      </c>
      <c r="D4" s="274">
        <v>29643</v>
      </c>
      <c r="E4" s="276" t="s">
        <v>4219</v>
      </c>
      <c r="F4" s="278">
        <v>1216</v>
      </c>
      <c r="G4" s="295">
        <f t="shared" si="0"/>
        <v>518319.07647779497</v>
      </c>
      <c r="H4" s="296">
        <f t="shared" si="1"/>
        <v>17.707236842105264</v>
      </c>
      <c r="I4" s="281">
        <f>$R$5/$R$2</f>
        <v>20.07469654528478</v>
      </c>
      <c r="J4" s="97">
        <f t="shared" si="2"/>
        <v>1.1337001207071471</v>
      </c>
      <c r="K4" s="97">
        <f t="shared" si="3"/>
        <v>-14.353252753977962</v>
      </c>
      <c r="L4" s="97"/>
      <c r="M4" s="97"/>
      <c r="N4" s="282">
        <v>1</v>
      </c>
      <c r="P4" s="113"/>
      <c r="Q4" s="97" t="s">
        <v>4357</v>
      </c>
      <c r="R4" s="298">
        <v>15100</v>
      </c>
      <c r="S4" s="113"/>
      <c r="T4" s="113"/>
      <c r="U4" s="113"/>
      <c r="AA4" s="113"/>
      <c r="AB4" s="113"/>
      <c r="AC4" s="113"/>
    </row>
    <row r="5" spans="1:29" ht="21">
      <c r="A5" s="274" t="s">
        <v>5764</v>
      </c>
      <c r="B5" s="274" t="s">
        <v>4361</v>
      </c>
      <c r="C5" s="275">
        <v>21532</v>
      </c>
      <c r="D5" s="274">
        <v>7188</v>
      </c>
      <c r="E5" s="276" t="s">
        <v>4219</v>
      </c>
      <c r="F5" s="278">
        <v>1198</v>
      </c>
      <c r="G5" s="295">
        <f t="shared" si="0"/>
        <v>127573.32193037112</v>
      </c>
      <c r="H5" s="296">
        <f t="shared" si="1"/>
        <v>17.973288814691152</v>
      </c>
      <c r="I5" s="281">
        <f>$R$5/$R$2</f>
        <v>20.07469654528478</v>
      </c>
      <c r="J5" s="97">
        <f t="shared" si="2"/>
        <v>1.1169183754993111</v>
      </c>
      <c r="K5" s="97">
        <f t="shared" si="3"/>
        <v>-13.027942695189655</v>
      </c>
      <c r="L5" s="97"/>
      <c r="M5" s="97"/>
      <c r="N5" s="282">
        <f>H5/H4</f>
        <v>1.015025041736227</v>
      </c>
      <c r="P5" s="113"/>
      <c r="Q5" s="97" t="s">
        <v>4361</v>
      </c>
      <c r="R5" s="283">
        <v>21500</v>
      </c>
      <c r="S5" s="113"/>
      <c r="T5" s="113"/>
      <c r="U5" s="113"/>
      <c r="AA5" s="113"/>
      <c r="AB5" s="113"/>
      <c r="AC5" s="113"/>
    </row>
    <row r="6" spans="1:29" ht="21">
      <c r="A6" s="274" t="s">
        <v>5765</v>
      </c>
      <c r="B6" s="274" t="s">
        <v>4361</v>
      </c>
      <c r="C6" s="275">
        <v>21532</v>
      </c>
      <c r="D6" s="274">
        <v>2917</v>
      </c>
      <c r="E6" s="276" t="s">
        <v>4219</v>
      </c>
      <c r="F6" s="278">
        <v>1188</v>
      </c>
      <c r="G6" s="295">
        <f t="shared" si="0"/>
        <v>52206.983736096045</v>
      </c>
      <c r="H6" s="296">
        <f t="shared" si="1"/>
        <v>18.124579124579125</v>
      </c>
      <c r="I6" s="281">
        <f>$R$5/$R$2</f>
        <v>20.07469654528478</v>
      </c>
      <c r="J6" s="97">
        <f t="shared" si="2"/>
        <v>1.10759518371718</v>
      </c>
      <c r="K6" s="97">
        <f t="shared" si="3"/>
        <v>-12.274305849189581</v>
      </c>
      <c r="L6" s="97"/>
      <c r="M6" s="97"/>
      <c r="N6" s="282">
        <f>H6/H5</f>
        <v>1.0084175084175084</v>
      </c>
      <c r="P6" s="113"/>
      <c r="Q6" s="67" t="s">
        <v>5877</v>
      </c>
      <c r="R6" s="303">
        <v>440</v>
      </c>
      <c r="S6" s="113"/>
      <c r="T6" s="113"/>
      <c r="U6" s="113"/>
      <c r="X6" s="113"/>
      <c r="Y6" s="113"/>
      <c r="Z6" s="113"/>
      <c r="AA6" s="113"/>
      <c r="AB6" s="113"/>
      <c r="AC6" s="113"/>
    </row>
    <row r="7" spans="1:29" ht="21">
      <c r="A7" s="274" t="s">
        <v>5761</v>
      </c>
      <c r="B7" s="274" t="s">
        <v>4361</v>
      </c>
      <c r="C7" s="275">
        <v>21532</v>
      </c>
      <c r="D7" s="274">
        <v>18100</v>
      </c>
      <c r="E7" s="276" t="s">
        <v>4219</v>
      </c>
      <c r="F7" s="278">
        <v>1184</v>
      </c>
      <c r="G7" s="295">
        <f t="shared" si="0"/>
        <v>325039.0099858836</v>
      </c>
      <c r="H7" s="296">
        <f t="shared" si="1"/>
        <v>18.185810810810811</v>
      </c>
      <c r="I7" s="281">
        <f>$R$5/$R$2</f>
        <v>20.07469654528478</v>
      </c>
      <c r="J7" s="97">
        <f t="shared" si="2"/>
        <v>1.1038659070043275</v>
      </c>
      <c r="K7" s="97">
        <f t="shared" si="3"/>
        <v>-11.969286612193597</v>
      </c>
      <c r="L7" s="36"/>
      <c r="M7" s="97"/>
      <c r="N7" s="282">
        <f>H7/H6</f>
        <v>1.0033783783783783</v>
      </c>
      <c r="O7" s="94"/>
      <c r="P7" s="113"/>
      <c r="Q7" s="67" t="s">
        <v>6489</v>
      </c>
      <c r="R7" s="322">
        <v>350</v>
      </c>
      <c r="S7" s="113"/>
      <c r="T7" s="113"/>
      <c r="U7" s="113"/>
      <c r="V7" s="113"/>
      <c r="W7" s="113"/>
      <c r="X7" s="113"/>
      <c r="Y7" s="113"/>
      <c r="Z7" s="113"/>
      <c r="AA7" s="113"/>
      <c r="AB7" s="113"/>
      <c r="AC7" s="113"/>
    </row>
    <row r="8" spans="1:29" ht="21">
      <c r="A8" s="274" t="s">
        <v>5798</v>
      </c>
      <c r="B8" s="274" t="s">
        <v>4361</v>
      </c>
      <c r="C8" s="275">
        <v>17601</v>
      </c>
      <c r="D8" s="274">
        <v>617</v>
      </c>
      <c r="E8" s="276" t="s">
        <v>4219</v>
      </c>
      <c r="F8" s="278">
        <v>982</v>
      </c>
      <c r="G8" s="295">
        <f t="shared" si="0"/>
        <v>10920.317418325176</v>
      </c>
      <c r="H8" s="296">
        <f t="shared" si="1"/>
        <v>17.923625254582486</v>
      </c>
      <c r="I8" s="281">
        <f>$R$5/$R$2</f>
        <v>20.07469654528478</v>
      </c>
      <c r="J8" s="97">
        <f t="shared" si="2"/>
        <v>1.1200131814936454</v>
      </c>
      <c r="K8" s="97">
        <f t="shared" si="3"/>
        <v>-13.275336522521663</v>
      </c>
      <c r="L8" s="36"/>
      <c r="M8" s="97"/>
      <c r="N8" s="282">
        <f>H8/H7</f>
        <v>0.98558296031142778</v>
      </c>
      <c r="P8" s="113"/>
      <c r="Q8" s="67" t="s">
        <v>5868</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14.098972922502334</v>
      </c>
      <c r="J9" s="20">
        <f t="shared" si="2"/>
        <v>1.0083015883120956</v>
      </c>
      <c r="K9" s="20">
        <f t="shared" si="3"/>
        <v>-3.3833239348549093</v>
      </c>
      <c r="L9" s="20"/>
      <c r="M9" s="20"/>
      <c r="N9" s="20">
        <v>1</v>
      </c>
      <c r="P9" s="113"/>
      <c r="Q9" s="113"/>
      <c r="R9" s="113"/>
    </row>
    <row r="10" spans="1:29">
      <c r="A10" s="60" t="s">
        <v>5802</v>
      </c>
      <c r="B10" s="60" t="s">
        <v>4357</v>
      </c>
      <c r="C10" s="49">
        <v>13371</v>
      </c>
      <c r="D10" s="60">
        <v>598</v>
      </c>
      <c r="E10" s="276" t="s">
        <v>4219</v>
      </c>
      <c r="F10" s="278">
        <v>1163</v>
      </c>
      <c r="G10" s="276">
        <f t="shared" si="0"/>
        <v>6789.0592824092246</v>
      </c>
      <c r="H10" s="277">
        <f t="shared" si="1"/>
        <v>11.496990541702493</v>
      </c>
      <c r="I10" s="281">
        <f t="shared" si="4"/>
        <v>14.098972922502334</v>
      </c>
      <c r="J10" s="20">
        <f t="shared" si="2"/>
        <v>1.226318563224158</v>
      </c>
      <c r="K10" s="20">
        <f t="shared" si="3"/>
        <v>-21.015120065143257</v>
      </c>
      <c r="L10" s="20"/>
      <c r="M10" s="20"/>
      <c r="N10" s="20">
        <f t="shared" ref="N10:N20" si="5">H10/H9</f>
        <v>0.82221831957035207</v>
      </c>
      <c r="Q10" s="97">
        <v>158000</v>
      </c>
      <c r="R10" s="97">
        <v>133728</v>
      </c>
    </row>
    <row r="11" spans="1:29">
      <c r="A11" s="60" t="s">
        <v>5804</v>
      </c>
      <c r="B11" s="60" t="s">
        <v>4357</v>
      </c>
      <c r="C11" s="49">
        <v>13248</v>
      </c>
      <c r="D11" s="60">
        <v>1000</v>
      </c>
      <c r="E11" s="276" t="s">
        <v>4219</v>
      </c>
      <c r="F11" s="278">
        <v>1142</v>
      </c>
      <c r="G11" s="276">
        <f t="shared" si="0"/>
        <v>11455.352519845814</v>
      </c>
      <c r="H11" s="277">
        <f t="shared" si="1"/>
        <v>11.600700525394046</v>
      </c>
      <c r="I11" s="281">
        <f t="shared" si="4"/>
        <v>14.098972922502334</v>
      </c>
      <c r="J11" s="20">
        <f t="shared" si="2"/>
        <v>1.2153553047628067</v>
      </c>
      <c r="K11" s="20">
        <f t="shared" si="3"/>
        <v>-20.279534684125679</v>
      </c>
      <c r="L11" s="20"/>
      <c r="M11" s="20"/>
      <c r="N11" s="20">
        <f t="shared" si="5"/>
        <v>1.0090206200757816</v>
      </c>
      <c r="Q11" s="97">
        <f>Q10*R11/R10</f>
        <v>23999.865398420676</v>
      </c>
      <c r="R11" s="97">
        <v>20313</v>
      </c>
      <c r="S11" s="113"/>
    </row>
    <row r="12" spans="1:29">
      <c r="A12" s="60" t="s">
        <v>5805</v>
      </c>
      <c r="B12" s="60" t="s">
        <v>4357</v>
      </c>
      <c r="C12" s="49">
        <v>13248</v>
      </c>
      <c r="D12" s="60">
        <v>1000</v>
      </c>
      <c r="E12" s="276" t="s">
        <v>4219</v>
      </c>
      <c r="F12" s="278">
        <v>1131</v>
      </c>
      <c r="G12" s="276">
        <f t="shared" si="0"/>
        <v>11566.76620483105</v>
      </c>
      <c r="H12" s="277">
        <f t="shared" si="1"/>
        <v>11.713527851458887</v>
      </c>
      <c r="I12" s="281">
        <f t="shared" si="4"/>
        <v>14.098972922502334</v>
      </c>
      <c r="J12" s="20">
        <f t="shared" si="2"/>
        <v>1.2036487300234102</v>
      </c>
      <c r="K12" s="20">
        <f t="shared" si="3"/>
        <v>-19.479282589983661</v>
      </c>
      <c r="L12" s="20"/>
      <c r="M12" s="20"/>
      <c r="N12" s="20">
        <f t="shared" si="5"/>
        <v>1.0097259062776305</v>
      </c>
      <c r="Q12" s="97">
        <f>Q10-Q11</f>
        <v>134000.13460157934</v>
      </c>
      <c r="R12" s="97">
        <f>R10-R11</f>
        <v>113415</v>
      </c>
      <c r="S12" s="113"/>
      <c r="X12" t="s">
        <v>25</v>
      </c>
    </row>
    <row r="13" spans="1:29">
      <c r="A13" s="60" t="s">
        <v>5807</v>
      </c>
      <c r="B13" s="60" t="s">
        <v>4357</v>
      </c>
      <c r="C13" s="49">
        <v>12698</v>
      </c>
      <c r="D13" s="60">
        <v>1000</v>
      </c>
      <c r="E13" s="276" t="s">
        <v>4219</v>
      </c>
      <c r="F13" s="278">
        <v>1070</v>
      </c>
      <c r="G13" s="276">
        <f t="shared" si="0"/>
        <v>11718.601553059423</v>
      </c>
      <c r="H13" s="277">
        <f t="shared" si="1"/>
        <v>11.867289719626168</v>
      </c>
      <c r="I13" s="281">
        <f t="shared" si="4"/>
        <v>14.098972922502334</v>
      </c>
      <c r="J13" s="20">
        <f t="shared" si="2"/>
        <v>1.1880533176151755</v>
      </c>
      <c r="K13" s="20">
        <f t="shared" si="3"/>
        <v>-18.388693445565409</v>
      </c>
      <c r="L13" s="20"/>
      <c r="M13" s="20"/>
      <c r="N13" s="20">
        <f t="shared" si="5"/>
        <v>1.0131268623865637</v>
      </c>
      <c r="S13" s="113"/>
    </row>
    <row r="14" spans="1:29">
      <c r="A14" s="300" t="s">
        <v>5807</v>
      </c>
      <c r="B14" s="60" t="s">
        <v>4357</v>
      </c>
      <c r="C14" s="49">
        <v>12748</v>
      </c>
      <c r="D14" s="60">
        <v>1000</v>
      </c>
      <c r="E14" s="276" t="s">
        <v>4219</v>
      </c>
      <c r="F14" s="278">
        <v>1083</v>
      </c>
      <c r="G14" s="276">
        <f t="shared" si="0"/>
        <v>11623.524653353457</v>
      </c>
      <c r="H14" s="277">
        <f t="shared" si="1"/>
        <v>11.77100646352724</v>
      </c>
      <c r="I14" s="281">
        <f t="shared" si="4"/>
        <v>14.098972922502334</v>
      </c>
      <c r="J14" s="20">
        <f t="shared" si="2"/>
        <v>1.1977712327478842</v>
      </c>
      <c r="K14" s="20">
        <f t="shared" si="3"/>
        <v>-19.07160316266442</v>
      </c>
      <c r="L14" s="20"/>
      <c r="M14" s="20" t="s">
        <v>25</v>
      </c>
      <c r="N14" s="20">
        <f t="shared" si="5"/>
        <v>0.99188666844968865</v>
      </c>
    </row>
    <row r="15" spans="1:29">
      <c r="A15" s="300" t="s">
        <v>5808</v>
      </c>
      <c r="B15" s="60" t="s">
        <v>4357</v>
      </c>
      <c r="C15" s="49">
        <v>12771</v>
      </c>
      <c r="D15" s="60">
        <v>1580</v>
      </c>
      <c r="E15" s="276" t="s">
        <v>4219</v>
      </c>
      <c r="F15" s="278">
        <v>1058</v>
      </c>
      <c r="G15" s="276">
        <f t="shared" si="0"/>
        <v>18833.045994913271</v>
      </c>
      <c r="H15" s="277">
        <f t="shared" si="1"/>
        <v>12.070888468809073</v>
      </c>
      <c r="I15" s="281">
        <f t="shared" si="4"/>
        <v>14.098972922502334</v>
      </c>
      <c r="J15" s="20">
        <f t="shared" si="2"/>
        <v>1.1680145135077495</v>
      </c>
      <c r="K15" s="20">
        <f t="shared" si="3"/>
        <v>-16.944625496062805</v>
      </c>
      <c r="L15" s="20"/>
      <c r="M15" s="20"/>
      <c r="N15" s="20">
        <f t="shared" si="5"/>
        <v>1.0254763266175264</v>
      </c>
    </row>
    <row r="16" spans="1:29">
      <c r="A16" s="300" t="s">
        <v>5815</v>
      </c>
      <c r="B16" s="60" t="s">
        <v>4357</v>
      </c>
      <c r="C16" s="49">
        <v>12777.5</v>
      </c>
      <c r="D16" s="60">
        <v>948</v>
      </c>
      <c r="E16" s="276" t="s">
        <v>4219</v>
      </c>
      <c r="F16" s="278">
        <v>1038</v>
      </c>
      <c r="G16" s="276">
        <f t="shared" si="0"/>
        <v>11523.412709412747</v>
      </c>
      <c r="H16" s="277">
        <f t="shared" si="1"/>
        <v>12.309730250481696</v>
      </c>
      <c r="I16" s="281">
        <f t="shared" si="4"/>
        <v>14.098972922502334</v>
      </c>
      <c r="J16" s="20">
        <f t="shared" si="2"/>
        <v>1.1453518993196965</v>
      </c>
      <c r="K16" s="20">
        <f t="shared" si="3"/>
        <v>-15.250588753205985</v>
      </c>
      <c r="L16" s="20"/>
      <c r="M16" s="20"/>
      <c r="N16" s="20">
        <f t="shared" si="5"/>
        <v>1.0197865950207214</v>
      </c>
      <c r="Q16" s="97">
        <v>10356</v>
      </c>
      <c r="R16" s="97">
        <f>Q16/0.99114</f>
        <v>10448.57436890853</v>
      </c>
    </row>
    <row r="17" spans="1:24">
      <c r="A17" s="300" t="s">
        <v>5820</v>
      </c>
      <c r="B17" s="60" t="s">
        <v>4357</v>
      </c>
      <c r="C17" s="49">
        <v>12782</v>
      </c>
      <c r="D17" s="60">
        <v>1648</v>
      </c>
      <c r="E17" s="276" t="s">
        <v>4219</v>
      </c>
      <c r="F17" s="278">
        <v>1019</v>
      </c>
      <c r="G17" s="276">
        <f t="shared" si="0"/>
        <v>20412.964461550731</v>
      </c>
      <c r="H17" s="277">
        <f t="shared" si="1"/>
        <v>12.543670264965652</v>
      </c>
      <c r="I17" s="281">
        <f t="shared" si="4"/>
        <v>14.098972922502334</v>
      </c>
      <c r="J17" s="20">
        <f t="shared" si="2"/>
        <v>1.1239910348951556</v>
      </c>
      <c r="K17" s="20">
        <f t="shared" si="3"/>
        <v>-13.591318849150912</v>
      </c>
      <c r="L17" s="20"/>
      <c r="M17" s="20"/>
      <c r="N17" s="20">
        <f t="shared" si="5"/>
        <v>1.019004479360935</v>
      </c>
      <c r="Q17" s="97">
        <v>10567</v>
      </c>
      <c r="R17" s="97">
        <f>Q17/1.0037158</f>
        <v>10527.880501632037</v>
      </c>
    </row>
    <row r="18" spans="1:24">
      <c r="A18" s="300" t="s">
        <v>5820</v>
      </c>
      <c r="B18" s="60" t="s">
        <v>4357</v>
      </c>
      <c r="C18" s="49">
        <v>12905</v>
      </c>
      <c r="D18" s="60">
        <v>3000</v>
      </c>
      <c r="E18" s="276" t="s">
        <v>4219</v>
      </c>
      <c r="F18" s="278">
        <v>1021</v>
      </c>
      <c r="G18" s="276">
        <f t="shared" si="0"/>
        <v>37443.614422035993</v>
      </c>
      <c r="H18" s="277">
        <f t="shared" si="1"/>
        <v>12.639569049951028</v>
      </c>
      <c r="I18" s="281">
        <f t="shared" si="4"/>
        <v>14.098972922502334</v>
      </c>
      <c r="J18" s="20">
        <f t="shared" si="2"/>
        <v>1.1154631037485381</v>
      </c>
      <c r="K18" s="20">
        <f t="shared" si="3"/>
        <v>-12.911136076175167</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14.098972922502334</v>
      </c>
      <c r="J19" s="20">
        <f t="shared" si="2"/>
        <v>1.0953672444312579</v>
      </c>
      <c r="K19" s="20">
        <f t="shared" si="3"/>
        <v>-11.266417406225715</v>
      </c>
      <c r="L19" s="20"/>
      <c r="M19" s="20"/>
      <c r="N19" s="20">
        <f t="shared" si="5"/>
        <v>1.0183462299237498</v>
      </c>
    </row>
    <row r="20" spans="1:24">
      <c r="A20" s="300" t="s">
        <v>5864</v>
      </c>
      <c r="B20" s="60" t="s">
        <v>4357</v>
      </c>
      <c r="C20" s="49">
        <v>16189.1</v>
      </c>
      <c r="D20" s="60">
        <v>9477</v>
      </c>
      <c r="E20" s="276" t="s">
        <v>4219</v>
      </c>
      <c r="F20" s="278">
        <v>1179.0999999999999</v>
      </c>
      <c r="G20" s="276">
        <f t="shared" si="0"/>
        <v>128489.36708680206</v>
      </c>
      <c r="H20" s="277">
        <f t="shared" si="1"/>
        <v>13.73004834195573</v>
      </c>
      <c r="I20" s="281">
        <f t="shared" si="4"/>
        <v>14.098972922502334</v>
      </c>
      <c r="J20" s="20">
        <f t="shared" si="2"/>
        <v>1.0268698675604266</v>
      </c>
      <c r="K20" s="20">
        <f t="shared" si="3"/>
        <v>-5.1766769918239479</v>
      </c>
      <c r="L20" s="20"/>
      <c r="M20" s="20"/>
      <c r="N20" s="20">
        <f t="shared" si="5"/>
        <v>1.0667050217702494</v>
      </c>
    </row>
    <row r="21" spans="1:24" ht="21">
      <c r="A21" s="300" t="s">
        <v>6468</v>
      </c>
      <c r="B21" s="60" t="s">
        <v>4357</v>
      </c>
      <c r="C21" s="49">
        <v>14499</v>
      </c>
      <c r="D21" s="60">
        <v>200</v>
      </c>
      <c r="E21" s="276" t="s">
        <v>4219</v>
      </c>
      <c r="F21" s="278">
        <v>1019</v>
      </c>
      <c r="G21" s="276">
        <f t="shared" si="0"/>
        <v>2810.0762499755424</v>
      </c>
      <c r="H21" s="277">
        <f t="shared" si="1"/>
        <v>14.22865554465162</v>
      </c>
      <c r="I21" s="281">
        <f t="shared" si="4"/>
        <v>14.098972922502334</v>
      </c>
      <c r="J21" s="20">
        <f t="shared" si="2"/>
        <v>0.99088581336849979</v>
      </c>
      <c r="K21" s="321">
        <f t="shared" si="3"/>
        <v>-1.6401980905835556</v>
      </c>
      <c r="L21" s="20"/>
      <c r="M21" s="20"/>
      <c r="N21" s="20">
        <f>H21/H20</f>
        <v>1.0363150362094695</v>
      </c>
    </row>
    <row r="22" spans="1:24" ht="21">
      <c r="A22" s="276" t="s">
        <v>6544</v>
      </c>
      <c r="B22" s="276" t="s">
        <v>4219</v>
      </c>
      <c r="C22" s="278">
        <v>1041</v>
      </c>
      <c r="D22" s="276">
        <v>1</v>
      </c>
      <c r="E22" s="297" t="s">
        <v>5278</v>
      </c>
      <c r="F22" s="318">
        <v>1230.2</v>
      </c>
      <c r="G22" s="297">
        <f t="shared" si="0"/>
        <v>0.83560157467645824</v>
      </c>
      <c r="H22" s="297">
        <f t="shared" si="1"/>
        <v>0.84620386928954638</v>
      </c>
      <c r="I22" s="297">
        <f>$R$2/$R$3</f>
        <v>0.81444866920152093</v>
      </c>
      <c r="J22" s="97">
        <f>I22/H22</f>
        <v>0.9624733456788771</v>
      </c>
      <c r="K22" s="320">
        <f t="shared" si="3"/>
        <v>1.3389811499302962</v>
      </c>
      <c r="L22" s="97"/>
      <c r="M22" s="97"/>
      <c r="N22" s="97">
        <v>1</v>
      </c>
      <c r="P22">
        <f>1028/1290</f>
        <v>0.79689922480620157</v>
      </c>
      <c r="Q22">
        <f>998/1274</f>
        <v>0.78335949764521196</v>
      </c>
      <c r="T22" t="e">
        <f>#REF!/#REF!</f>
        <v>#REF!</v>
      </c>
      <c r="U22" t="e">
        <f>T22*T23</f>
        <v>#REF!</v>
      </c>
    </row>
    <row r="23" spans="1:24">
      <c r="A23" s="60" t="s">
        <v>5807</v>
      </c>
      <c r="B23" s="60" t="s">
        <v>4357</v>
      </c>
      <c r="C23" s="49">
        <v>12975.5</v>
      </c>
      <c r="D23" s="60">
        <v>8000</v>
      </c>
      <c r="E23" s="297" t="s">
        <v>5278</v>
      </c>
      <c r="F23" s="318">
        <v>1266.3</v>
      </c>
      <c r="G23" s="297">
        <f t="shared" si="0"/>
        <v>80947.180267609016</v>
      </c>
      <c r="H23" s="297">
        <f t="shared" si="1"/>
        <v>10.246781963199874</v>
      </c>
      <c r="I23" s="297">
        <f>$R$4/$R$3</f>
        <v>11.482889733840304</v>
      </c>
      <c r="J23" s="97">
        <f t="shared" si="2"/>
        <v>1.1206337536096471</v>
      </c>
      <c r="K23" s="97">
        <f t="shared" si="3"/>
        <v>-13.324779592001102</v>
      </c>
      <c r="L23" s="97"/>
      <c r="M23" s="97"/>
      <c r="N23" s="97">
        <v>1</v>
      </c>
      <c r="P23">
        <f>I22/P22</f>
        <v>1.0220221627139707</v>
      </c>
      <c r="Q23" s="94">
        <f>I22/P22</f>
        <v>1.0220221627139707</v>
      </c>
      <c r="T23">
        <v>2400</v>
      </c>
      <c r="X23" t="s">
        <v>25</v>
      </c>
    </row>
    <row r="24" spans="1:24" ht="21">
      <c r="A24" s="60" t="s">
        <v>5808</v>
      </c>
      <c r="B24" s="60" t="s">
        <v>4357</v>
      </c>
      <c r="C24" s="49">
        <v>12936</v>
      </c>
      <c r="D24" s="60">
        <v>316</v>
      </c>
      <c r="E24" s="297" t="s">
        <v>5278</v>
      </c>
      <c r="F24" s="318">
        <v>1250.3</v>
      </c>
      <c r="G24" s="297">
        <f t="shared" si="0"/>
        <v>3228.4725727825744</v>
      </c>
      <c r="H24" s="297">
        <f t="shared" si="1"/>
        <v>10.346316883947853</v>
      </c>
      <c r="I24" s="297">
        <f>$R$4/$R$3</f>
        <v>11.482889733840304</v>
      </c>
      <c r="J24" s="97">
        <f t="shared" si="2"/>
        <v>1.1098528938018346</v>
      </c>
      <c r="K24" s="320">
        <f t="shared" si="3"/>
        <v>-12.457968858334933</v>
      </c>
      <c r="L24" s="97" t="s">
        <v>25</v>
      </c>
      <c r="M24" s="97" t="s">
        <v>25</v>
      </c>
      <c r="N24" s="97">
        <f>H24/H23</f>
        <v>1.0097137736613746</v>
      </c>
      <c r="P24" s="112">
        <f>R3-R2</f>
        <v>244</v>
      </c>
    </row>
    <row r="25" spans="1:24">
      <c r="A25" s="60" t="s">
        <v>6454</v>
      </c>
      <c r="B25" s="60" t="s">
        <v>4357</v>
      </c>
      <c r="C25" s="49">
        <v>14500</v>
      </c>
      <c r="D25" s="60">
        <v>32</v>
      </c>
      <c r="E25" s="150" t="s">
        <v>5915</v>
      </c>
      <c r="F25" s="230">
        <v>1973</v>
      </c>
      <c r="G25" s="150">
        <f t="shared" si="0"/>
        <v>232.22829744562071</v>
      </c>
      <c r="H25" s="150">
        <f t="shared" si="1"/>
        <v>7.3492143943233659</v>
      </c>
      <c r="I25" s="150">
        <f>$R$4/$R$1</f>
        <v>7.5012419274714359</v>
      </c>
      <c r="J25" s="97">
        <f t="shared" si="2"/>
        <v>1.020686229165596</v>
      </c>
      <c r="K25" s="97">
        <f t="shared" si="3"/>
        <v>-4.5866981736891859</v>
      </c>
      <c r="L25" s="97"/>
      <c r="M25" s="97"/>
      <c r="N25" s="97">
        <v>1</v>
      </c>
      <c r="X25" t="s">
        <v>25</v>
      </c>
    </row>
    <row r="26" spans="1:24" ht="21">
      <c r="A26" s="60" t="s">
        <v>6468</v>
      </c>
      <c r="B26" s="60" t="s">
        <v>4357</v>
      </c>
      <c r="C26" s="49">
        <v>14503</v>
      </c>
      <c r="D26" s="60">
        <v>200</v>
      </c>
      <c r="E26" s="150" t="s">
        <v>5915</v>
      </c>
      <c r="F26" s="230">
        <v>1898</v>
      </c>
      <c r="G26" s="150">
        <f t="shared" si="0"/>
        <v>1509.0925581296149</v>
      </c>
      <c r="H26" s="150">
        <f t="shared" si="1"/>
        <v>7.6412012644889353</v>
      </c>
      <c r="I26" s="150">
        <f>$R$4/$R$1</f>
        <v>7.5012419274714359</v>
      </c>
      <c r="J26" s="97">
        <f t="shared" si="2"/>
        <v>0.9816835950038465</v>
      </c>
      <c r="K26" s="320">
        <f t="shared" si="3"/>
        <v>-0.69418446744220486</v>
      </c>
      <c r="L26" s="97" t="s">
        <v>25</v>
      </c>
      <c r="M26" s="97" t="s">
        <v>25</v>
      </c>
      <c r="N26" s="97">
        <f>H26/H25</f>
        <v>1.039730351368046</v>
      </c>
      <c r="P26">
        <v>235</v>
      </c>
      <c r="R26" t="s">
        <v>25</v>
      </c>
    </row>
    <row r="27" spans="1:24">
      <c r="A27" s="276" t="s">
        <v>6459</v>
      </c>
      <c r="B27" s="276" t="s">
        <v>4219</v>
      </c>
      <c r="C27" s="278">
        <v>1038</v>
      </c>
      <c r="D27" s="276">
        <v>100000</v>
      </c>
      <c r="E27" s="150" t="s">
        <v>5915</v>
      </c>
      <c r="F27" s="150">
        <v>1955</v>
      </c>
      <c r="G27" s="150">
        <f t="shared" si="0"/>
        <v>52429.393600945587</v>
      </c>
      <c r="H27" s="150">
        <f t="shared" si="1"/>
        <v>0.53094629156010231</v>
      </c>
      <c r="I27" s="150">
        <f>$R$2/$R$1</f>
        <v>0.53204172876304023</v>
      </c>
      <c r="J27" s="97">
        <f t="shared" si="2"/>
        <v>1.0020631789323156</v>
      </c>
      <c r="K27" s="97">
        <f t="shared" si="3"/>
        <v>-2.765893098927541</v>
      </c>
      <c r="L27" s="97"/>
      <c r="M27" s="97"/>
      <c r="N27" s="97">
        <v>1</v>
      </c>
      <c r="R27">
        <f>369/G22</f>
        <v>441.59801893967875</v>
      </c>
    </row>
    <row r="28" spans="1:24">
      <c r="A28" s="276" t="s">
        <v>6480</v>
      </c>
      <c r="B28" s="276" t="s">
        <v>4219</v>
      </c>
      <c r="C28" s="278">
        <v>948</v>
      </c>
      <c r="D28" s="276">
        <v>1</v>
      </c>
      <c r="E28" s="150" t="s">
        <v>5915</v>
      </c>
      <c r="F28" s="150">
        <v>1712</v>
      </c>
      <c r="G28" s="150">
        <f t="shared" ref="G28" si="6">C28*D28*0.99114/(F28*1.0037158)</f>
        <v>0.54680039535263103</v>
      </c>
      <c r="H28" s="150">
        <f t="shared" ref="H28" si="7">C28/F28</f>
        <v>0.55373831775700932</v>
      </c>
      <c r="I28" s="150">
        <f>$R$2/$R$1</f>
        <v>0.53204172876304023</v>
      </c>
      <c r="J28" s="97">
        <f>I28/H28</f>
        <v>0.96081797430624993</v>
      </c>
      <c r="K28" s="97">
        <f>(1/J28-1.0256)*100</f>
        <v>1.5179863347208</v>
      </c>
      <c r="L28" s="97"/>
      <c r="M28" s="97"/>
      <c r="N28" s="97">
        <f>H28/H27</f>
        <v>1.0429271784344443</v>
      </c>
      <c r="P28" t="s">
        <v>25</v>
      </c>
    </row>
    <row r="29" spans="1:24">
      <c r="A29" s="297" t="s">
        <v>5866</v>
      </c>
      <c r="B29" s="297" t="s">
        <v>5278</v>
      </c>
      <c r="C29" s="297">
        <v>1461.2</v>
      </c>
      <c r="D29" s="297">
        <v>8502</v>
      </c>
      <c r="E29" s="23" t="s">
        <v>5868</v>
      </c>
      <c r="F29" s="35">
        <v>410</v>
      </c>
      <c r="G29" s="23">
        <f>C29*D29*0.99114/(F29*1.00103)</f>
        <v>30000.936926516904</v>
      </c>
      <c r="H29" s="23">
        <f>C29/F29</f>
        <v>3.5639024390243903</v>
      </c>
      <c r="I29" s="23">
        <f>$R$3/$R$8</f>
        <v>5.26</v>
      </c>
      <c r="J29" s="97">
        <f>I29/H29</f>
        <v>1.4759102107856557</v>
      </c>
      <c r="K29" s="97">
        <f>(1/J29-1.0146358)*100</f>
        <v>-33.708780779003988</v>
      </c>
      <c r="L29" s="97"/>
      <c r="M29" s="97"/>
      <c r="N29" s="97">
        <v>1</v>
      </c>
      <c r="S29" t="s">
        <v>25</v>
      </c>
    </row>
    <row r="30" spans="1:24">
      <c r="A30" s="60" t="s">
        <v>5876</v>
      </c>
      <c r="B30" s="60" t="s">
        <v>4357</v>
      </c>
      <c r="C30" s="49">
        <v>15396.7</v>
      </c>
      <c r="D30" s="60">
        <v>835.71</v>
      </c>
      <c r="E30" s="302" t="s">
        <v>5877</v>
      </c>
      <c r="F30" s="319">
        <v>490</v>
      </c>
      <c r="G30" s="302">
        <f>C30*D30*0.99114/(F30*1.00103)</f>
        <v>26000.103518373991</v>
      </c>
      <c r="H30" s="302">
        <f t="shared" si="1"/>
        <v>31.42183673469388</v>
      </c>
      <c r="I30" s="302">
        <f>$R$4/$R$6</f>
        <v>34.31818181818182</v>
      </c>
      <c r="J30" s="97">
        <f t="shared" si="2"/>
        <v>1.0921761865145836</v>
      </c>
      <c r="K30" s="97">
        <f>(1/J30-1.0146358)*100</f>
        <v>-9.9032610379780941</v>
      </c>
      <c r="L30" s="97"/>
      <c r="M30" s="97"/>
      <c r="N30" s="97">
        <v>1</v>
      </c>
      <c r="S30" t="s">
        <v>25</v>
      </c>
    </row>
    <row r="31" spans="1:24">
      <c r="A31" s="94"/>
      <c r="B31" s="113"/>
      <c r="C31" s="113"/>
      <c r="D31" s="94"/>
      <c r="E31" s="94"/>
      <c r="F31" s="94"/>
      <c r="G31" s="94"/>
      <c r="H31" s="94"/>
      <c r="I31" s="94"/>
      <c r="J31" s="94"/>
      <c r="K31" s="94"/>
      <c r="L31" s="94"/>
      <c r="M31" s="94"/>
      <c r="N31" s="94"/>
      <c r="R31" t="s">
        <v>25</v>
      </c>
      <c r="W31" t="s">
        <v>25</v>
      </c>
    </row>
    <row r="32" spans="1:24">
      <c r="A32" s="276" t="s">
        <v>6468</v>
      </c>
      <c r="B32" s="276" t="s">
        <v>4219</v>
      </c>
      <c r="C32" s="278">
        <v>1019</v>
      </c>
      <c r="D32" s="276">
        <v>10000</v>
      </c>
      <c r="E32" s="302" t="s">
        <v>5877</v>
      </c>
      <c r="F32" s="319">
        <v>390</v>
      </c>
      <c r="G32" s="302">
        <v>10000</v>
      </c>
      <c r="H32" s="302"/>
      <c r="I32" s="319">
        <f>C32*D32*0.99114-F32*G32*1.00125</f>
        <v>6194841.5999999996</v>
      </c>
      <c r="J32" s="97">
        <f>(G32*$R$6*0.99875+I32)/(R2*1.0037158)</f>
        <v>9850.7370607348566</v>
      </c>
      <c r="K32" s="97">
        <f>J32-D32</f>
        <v>-149.26293926514336</v>
      </c>
      <c r="L32" s="97"/>
      <c r="M32" s="97"/>
      <c r="N32" s="97"/>
      <c r="R32" t="s">
        <v>25</v>
      </c>
    </row>
    <row r="33" spans="1:20">
      <c r="A33" s="276" t="s">
        <v>6488</v>
      </c>
      <c r="B33" s="276" t="s">
        <v>4219</v>
      </c>
      <c r="C33" s="278">
        <v>990</v>
      </c>
      <c r="D33" s="276">
        <v>4000</v>
      </c>
      <c r="E33" s="302" t="s">
        <v>5877</v>
      </c>
      <c r="F33" s="319">
        <v>360</v>
      </c>
      <c r="G33" s="302">
        <v>4000</v>
      </c>
      <c r="H33" s="302"/>
      <c r="I33" s="319">
        <f>C33*D33*0.99114-F33*G33*1.00125</f>
        <v>2483114.4</v>
      </c>
      <c r="J33" s="97">
        <f>(G33*$R$6*0.99875+I33)/(R2*1.0037158)</f>
        <v>3945.1114365301178</v>
      </c>
      <c r="K33" s="97">
        <f>J33-D33</f>
        <v>-54.888563469882229</v>
      </c>
      <c r="L33" s="97"/>
      <c r="M33" s="97"/>
      <c r="N33" s="97"/>
      <c r="T33" t="s">
        <v>25</v>
      </c>
    </row>
    <row r="34" spans="1:20">
      <c r="A34" s="276" t="s">
        <v>6492</v>
      </c>
      <c r="B34" s="276" t="s">
        <v>4219</v>
      </c>
      <c r="C34" s="278">
        <v>930</v>
      </c>
      <c r="D34" s="276">
        <v>99000</v>
      </c>
      <c r="E34" s="302" t="s">
        <v>5877</v>
      </c>
      <c r="F34" s="319">
        <v>300</v>
      </c>
      <c r="G34" s="302">
        <v>99000</v>
      </c>
      <c r="H34" s="302"/>
      <c r="I34" s="319">
        <f>C34*D34*0.99114-F34*G34*1.00125</f>
        <v>61517134.799999997</v>
      </c>
      <c r="J34" s="97">
        <f>(G34*$R$6*0.99875+I34)/(R2*1.0037158)</f>
        <v>97697.372741024374</v>
      </c>
      <c r="K34" s="97">
        <f>J34-D34</f>
        <v>-1302.6272589756263</v>
      </c>
      <c r="L34" s="97"/>
      <c r="M34" s="97"/>
      <c r="N34" s="97"/>
      <c r="P34">
        <f>C32/F32</f>
        <v>2.6128205128205129</v>
      </c>
      <c r="Q34">
        <f>R2/R6</f>
        <v>2.4340909090909091</v>
      </c>
    </row>
    <row r="35" spans="1:20">
      <c r="A35" s="276" t="s">
        <v>6545</v>
      </c>
      <c r="B35" s="276" t="s">
        <v>4219</v>
      </c>
      <c r="C35" s="278"/>
      <c r="D35" s="276"/>
      <c r="E35" s="302"/>
      <c r="F35" s="319"/>
      <c r="G35" s="302"/>
      <c r="H35" s="302"/>
      <c r="I35" s="319"/>
      <c r="J35" s="97"/>
      <c r="K35" s="97"/>
      <c r="L35" s="97"/>
      <c r="M35" s="97"/>
      <c r="N35" s="97"/>
      <c r="P35" s="112">
        <f>C32-F32</f>
        <v>629</v>
      </c>
      <c r="Q35" s="112">
        <f>R2-R6</f>
        <v>631</v>
      </c>
      <c r="T35" t="s">
        <v>25</v>
      </c>
    </row>
    <row r="36" spans="1:20">
      <c r="A36" s="94"/>
      <c r="B36" s="94"/>
      <c r="C36" s="94"/>
      <c r="D36" s="94"/>
      <c r="E36" s="94"/>
      <c r="F36" s="94"/>
      <c r="G36" s="94"/>
      <c r="H36" s="94"/>
      <c r="I36" s="94"/>
      <c r="J36" s="94"/>
      <c r="K36" s="94"/>
      <c r="L36" s="94"/>
      <c r="M36" s="94"/>
      <c r="N36" s="94"/>
    </row>
    <row r="37" spans="1:20">
      <c r="A37" s="113"/>
      <c r="B37" s="113"/>
      <c r="C37" s="113"/>
      <c r="D37" s="113"/>
      <c r="E37" s="113"/>
      <c r="F37" s="113"/>
      <c r="G37" s="113"/>
      <c r="H37" s="113"/>
      <c r="I37" s="113"/>
      <c r="J37" s="113"/>
      <c r="K37" s="113"/>
      <c r="L37" s="113"/>
      <c r="M37" s="113"/>
      <c r="N37" s="113"/>
    </row>
    <row r="38" spans="1:20">
      <c r="A38" s="97" t="s">
        <v>5535</v>
      </c>
      <c r="B38" s="97"/>
      <c r="C38" s="97"/>
      <c r="D38" s="97"/>
      <c r="E38" s="97"/>
      <c r="F38" s="97"/>
      <c r="G38" s="97"/>
      <c r="H38" s="97"/>
      <c r="I38" s="97"/>
      <c r="J38" s="97"/>
      <c r="K38" s="97"/>
      <c r="L38" s="97"/>
      <c r="M38" s="97"/>
      <c r="N38" s="97"/>
      <c r="S38" t="s">
        <v>25</v>
      </c>
      <c r="T38" t="s">
        <v>25</v>
      </c>
    </row>
    <row r="39" spans="1:20">
      <c r="A39" s="274" t="s">
        <v>5761</v>
      </c>
      <c r="B39" s="274" t="s">
        <v>4361</v>
      </c>
      <c r="C39" s="274">
        <v>21532</v>
      </c>
      <c r="D39" s="274">
        <v>1859</v>
      </c>
      <c r="E39" s="276" t="s">
        <v>4219</v>
      </c>
      <c r="F39" s="276">
        <v>1187</v>
      </c>
      <c r="G39" s="276">
        <f>C39*D39*0.99114/(F39*1.0037158)</f>
        <v>33299.467209851166</v>
      </c>
      <c r="H39" s="276">
        <f>C39/F39</f>
        <v>18.139848357203032</v>
      </c>
      <c r="I39" s="276">
        <f>$R$5/$R$2</f>
        <v>20.07469654528478</v>
      </c>
      <c r="J39" s="97">
        <f>I39/H39</f>
        <v>1.1066628645389669</v>
      </c>
      <c r="K39" s="97">
        <f>(1/J39-1.0256)*100</f>
        <v>-12.19824376481653</v>
      </c>
      <c r="L39" s="97"/>
      <c r="M39" s="97"/>
      <c r="N39" s="97">
        <v>1</v>
      </c>
    </row>
    <row r="40" spans="1:20">
      <c r="A40" s="274" t="s">
        <v>5767</v>
      </c>
      <c r="B40" s="274" t="s">
        <v>4361</v>
      </c>
      <c r="C40" s="274">
        <v>22420.1</v>
      </c>
      <c r="D40" s="274">
        <v>1000</v>
      </c>
      <c r="E40" s="276" t="s">
        <v>4219</v>
      </c>
      <c r="F40" s="276">
        <v>1161</v>
      </c>
      <c r="G40" s="276">
        <f>C40*D40*0.99114/(F40*1.0037158)</f>
        <v>19069.072437793271</v>
      </c>
      <c r="H40" s="276">
        <f>C40/F40</f>
        <v>19.311024978466836</v>
      </c>
      <c r="I40" s="276">
        <f>$R$5/$R$2</f>
        <v>20.07469654528478</v>
      </c>
      <c r="J40" s="97">
        <f>I40/H40</f>
        <v>1.0395458846782857</v>
      </c>
      <c r="K40" s="97">
        <f>(1/J40-1.0256)*100</f>
        <v>-6.3641499909861343</v>
      </c>
      <c r="L40" s="97" t="s">
        <v>25</v>
      </c>
      <c r="M40" s="97"/>
      <c r="N40" s="97">
        <f>H40/H39</f>
        <v>1.064563749277361</v>
      </c>
      <c r="Q40" t="s">
        <v>25</v>
      </c>
    </row>
    <row r="41" spans="1:20">
      <c r="A41" s="274" t="s">
        <v>5769</v>
      </c>
      <c r="B41" s="274" t="s">
        <v>4361</v>
      </c>
      <c r="C41" s="274">
        <v>23233.1</v>
      </c>
      <c r="D41" s="274">
        <v>1000</v>
      </c>
      <c r="E41" s="276" t="s">
        <v>4219</v>
      </c>
      <c r="F41" s="276">
        <v>1152</v>
      </c>
      <c r="G41" s="276">
        <f>C41*D41*0.99114/(F41*1.0037158)</f>
        <v>19914.936480069027</v>
      </c>
      <c r="H41" s="276">
        <f>C41/F41</f>
        <v>20.167621527777776</v>
      </c>
      <c r="I41" s="276">
        <f>$R$5/$R$2</f>
        <v>20.07469654528478</v>
      </c>
      <c r="J41" s="97">
        <f>I41/H41</f>
        <v>0.99539236779285023</v>
      </c>
      <c r="K41" s="97">
        <f>(1/J41-1.0256)*100</f>
        <v>-2.0971039244186196</v>
      </c>
      <c r="L41" s="97"/>
      <c r="M41" s="97"/>
      <c r="N41" s="97">
        <f>H41/H40</f>
        <v>1.0443579017823292</v>
      </c>
      <c r="Q41" t="s">
        <v>25</v>
      </c>
    </row>
    <row r="42" spans="1:20">
      <c r="A42" s="274" t="s">
        <v>5771</v>
      </c>
      <c r="B42" s="274" t="s">
        <v>4361</v>
      </c>
      <c r="C42" s="274">
        <v>23900</v>
      </c>
      <c r="D42" s="274">
        <v>1000</v>
      </c>
      <c r="E42" s="276" t="s">
        <v>4219</v>
      </c>
      <c r="F42" s="276">
        <v>1153</v>
      </c>
      <c r="G42" s="276">
        <f>C42*D42*0.99114/(F42*1.0037158)</f>
        <v>20468.821398374203</v>
      </c>
      <c r="H42" s="276">
        <f>C42/F42</f>
        <v>20.7285342584562</v>
      </c>
      <c r="I42" s="276">
        <f>$R$5/$R$2</f>
        <v>20.07469654528478</v>
      </c>
      <c r="J42" s="97">
        <f>I42/H42</f>
        <v>0.96845711785411515</v>
      </c>
      <c r="K42" s="97">
        <f>(1/J42-1.0256)*100</f>
        <v>0.69702414328647322</v>
      </c>
      <c r="L42" s="97"/>
      <c r="M42" s="97"/>
      <c r="N42" s="97">
        <f>H42/H41</f>
        <v>1.0278125375322942</v>
      </c>
      <c r="R42" t="s">
        <v>25</v>
      </c>
    </row>
    <row r="43" spans="1:20">
      <c r="A43" s="274" t="s">
        <v>5784</v>
      </c>
      <c r="B43" s="274" t="s">
        <v>4361</v>
      </c>
      <c r="C43" s="274">
        <v>22500</v>
      </c>
      <c r="D43" s="274">
        <v>2000</v>
      </c>
      <c r="E43" s="276" t="s">
        <v>4219</v>
      </c>
      <c r="F43" s="276">
        <v>1093</v>
      </c>
      <c r="G43" s="276">
        <f>C43*D43*0.99114/(F43*1.0037158)</f>
        <v>40655.246136679802</v>
      </c>
      <c r="H43" s="276">
        <f>C43/F43</f>
        <v>20.585544373284538</v>
      </c>
      <c r="I43" s="276">
        <f>$R$5/$R$2</f>
        <v>20.07469654528478</v>
      </c>
      <c r="J43" s="97">
        <f>I43/H43</f>
        <v>0.97518414773316731</v>
      </c>
      <c r="K43" s="97">
        <f>(1/J43-1.0256)*100</f>
        <v>-1.5265005638420703E-2</v>
      </c>
      <c r="L43" s="97"/>
      <c r="M43" s="97"/>
      <c r="N43" s="97">
        <f>H43/H42</f>
        <v>0.99310178503753443</v>
      </c>
    </row>
    <row r="44" spans="1:20">
      <c r="A44" s="94"/>
      <c r="N44" s="94"/>
    </row>
    <row r="45" spans="1:20">
      <c r="A45" s="94"/>
      <c r="N45" s="94"/>
      <c r="R45" t="s">
        <v>25</v>
      </c>
    </row>
    <row r="46" spans="1:20">
      <c r="A46" s="94"/>
    </row>
    <row r="47" spans="1:20">
      <c r="A47" s="97"/>
      <c r="B47" s="97"/>
      <c r="C47" s="97"/>
      <c r="D47" s="97"/>
      <c r="G47" t="s">
        <v>6521</v>
      </c>
    </row>
    <row r="48" spans="1:20">
      <c r="A48" s="97" t="s">
        <v>5877</v>
      </c>
      <c r="B48" s="97">
        <v>620</v>
      </c>
      <c r="C48" s="97">
        <v>164000</v>
      </c>
      <c r="D48" s="93">
        <f>C48*B48</f>
        <v>101680000</v>
      </c>
      <c r="G48">
        <v>2760</v>
      </c>
      <c r="H48">
        <v>932</v>
      </c>
    </row>
    <row r="49" spans="1:19">
      <c r="A49" s="97" t="s">
        <v>6489</v>
      </c>
      <c r="B49" s="97">
        <v>720</v>
      </c>
      <c r="C49" s="97">
        <v>0</v>
      </c>
      <c r="D49" s="93">
        <f>C49*B49</f>
        <v>0</v>
      </c>
      <c r="J49" t="s">
        <v>25</v>
      </c>
    </row>
    <row r="50" spans="1:19">
      <c r="A50" s="97" t="s">
        <v>5868</v>
      </c>
      <c r="B50" s="97">
        <v>820</v>
      </c>
      <c r="C50" s="97">
        <v>0</v>
      </c>
      <c r="D50" s="93">
        <f>C50*B50</f>
        <v>0</v>
      </c>
      <c r="R50" t="s">
        <v>25</v>
      </c>
    </row>
    <row r="51" spans="1:19">
      <c r="A51" s="97"/>
      <c r="B51" s="97"/>
      <c r="C51" s="97"/>
      <c r="D51" s="93"/>
      <c r="G51" t="s">
        <v>6522</v>
      </c>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101680000</v>
      </c>
    </row>
    <row r="60" spans="1:19">
      <c r="A60" s="97"/>
      <c r="B60" s="97"/>
      <c r="C60" s="97"/>
      <c r="D60" s="97"/>
    </row>
    <row r="61" spans="1:19">
      <c r="A61" s="97" t="s">
        <v>6497</v>
      </c>
      <c r="B61" s="93">
        <v>94000000</v>
      </c>
      <c r="C61" s="97"/>
      <c r="D61" s="97"/>
    </row>
    <row r="62" spans="1:19">
      <c r="A62" s="97"/>
      <c r="B62" s="97"/>
      <c r="C62" s="97"/>
      <c r="D62" s="97"/>
    </row>
    <row r="63" spans="1:19">
      <c r="A63" s="97" t="s">
        <v>4595</v>
      </c>
      <c r="B63" s="93">
        <f>D59-B61</f>
        <v>7680000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5869</v>
      </c>
      <c r="S1" t="s">
        <v>5870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5724</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5727</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5728</v>
      </c>
      <c r="L467" s="82">
        <v>6143888625</v>
      </c>
      <c r="M467" s="82">
        <v>3526728170</v>
      </c>
      <c r="N467" s="111">
        <f t="shared" si="57"/>
        <v>9670616795</v>
      </c>
      <c r="O467" s="111">
        <f t="shared" si="58"/>
        <v>62523077</v>
      </c>
      <c r="P467" s="111">
        <f t="shared" si="59"/>
        <v>145542848</v>
      </c>
      <c r="Q467" s="218">
        <v>0</v>
      </c>
    </row>
    <row r="468" spans="9:19">
      <c r="I468" s="207" t="s">
        <v>5731</v>
      </c>
      <c r="J468" s="111">
        <f>L468-L467-20000</f>
        <v>-31443260</v>
      </c>
      <c r="K468" s="207" t="s">
        <v>5730</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5733</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5734</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5736</v>
      </c>
      <c r="L471" s="82">
        <v>6013616539</v>
      </c>
      <c r="M471" s="82">
        <v>3413915060</v>
      </c>
      <c r="N471" s="111">
        <f t="shared" si="57"/>
        <v>9427531599</v>
      </c>
      <c r="O471" s="111">
        <f t="shared" si="58"/>
        <v>-132100286</v>
      </c>
      <c r="P471" s="111">
        <f t="shared" si="59"/>
        <v>-358771555</v>
      </c>
      <c r="Q471" s="218">
        <v>0</v>
      </c>
      <c r="R471" t="s">
        <v>25</v>
      </c>
    </row>
    <row r="472" spans="9:19">
      <c r="I472" s="207" t="s">
        <v>5740</v>
      </c>
      <c r="J472" s="111">
        <f>L472-L471-70000</f>
        <v>-63686539</v>
      </c>
      <c r="K472" s="207" t="s">
        <v>5738</v>
      </c>
      <c r="L472" s="82">
        <v>5950000000</v>
      </c>
      <c r="M472" s="82">
        <v>3380000000</v>
      </c>
      <c r="N472" s="111">
        <f t="shared" si="57"/>
        <v>9330000000</v>
      </c>
      <c r="O472" s="111">
        <f>M472-M471-70000</f>
        <v>-33985060</v>
      </c>
      <c r="P472" s="111">
        <f>N472-N471-140000</f>
        <v>-97671599</v>
      </c>
      <c r="Q472" s="218">
        <v>140000</v>
      </c>
    </row>
    <row r="473" spans="9:19">
      <c r="I473" s="207" t="s">
        <v>5747</v>
      </c>
      <c r="J473" s="111">
        <f>L473-L472-330000</f>
        <v>-62693116</v>
      </c>
      <c r="K473" s="207" t="s">
        <v>5745</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5749</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5759</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5816</v>
      </c>
      <c r="I31" s="11">
        <v>275860</v>
      </c>
      <c r="J31" s="11" t="s">
        <v>476</v>
      </c>
    </row>
    <row r="32" spans="2:21">
      <c r="G32" s="11">
        <f t="shared" si="5"/>
        <v>90860</v>
      </c>
      <c r="H32" s="57" t="s">
        <v>780</v>
      </c>
      <c r="I32" s="11">
        <v>185000</v>
      </c>
      <c r="J32" s="11" t="s">
        <v>556</v>
      </c>
    </row>
    <row r="33" spans="6:23">
      <c r="G33" s="11">
        <f t="shared" si="5"/>
        <v>0</v>
      </c>
      <c r="H33" s="11" t="s">
        <v>5816</v>
      </c>
      <c r="I33" s="11">
        <v>275860</v>
      </c>
      <c r="J33" s="11" t="s">
        <v>563</v>
      </c>
    </row>
    <row r="34" spans="6:23">
      <c r="G34" s="11">
        <f t="shared" si="5"/>
        <v>0</v>
      </c>
      <c r="H34" s="11" t="s">
        <v>5816</v>
      </c>
      <c r="I34" s="11">
        <v>275860</v>
      </c>
      <c r="J34" s="11" t="s">
        <v>564</v>
      </c>
    </row>
    <row r="35" spans="6:23">
      <c r="G35" s="11">
        <f t="shared" si="5"/>
        <v>0</v>
      </c>
      <c r="H35" s="11" t="s">
        <v>5816</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5818</v>
      </c>
      <c r="I48" s="97">
        <v>275860</v>
      </c>
      <c r="J48" s="97" t="s">
        <v>5817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5784</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5784</v>
      </c>
      <c r="I58" s="97">
        <v>42500</v>
      </c>
      <c r="J58" s="97" t="s">
        <v>563</v>
      </c>
      <c r="M58" s="25"/>
      <c r="N58" s="25"/>
      <c r="O58" s="25"/>
      <c r="P58" s="25"/>
      <c r="Q58" s="69"/>
      <c r="R58" s="25"/>
      <c r="S58" s="69"/>
      <c r="T58" s="25"/>
      <c r="U58" s="25"/>
      <c r="V58" s="25"/>
      <c r="W58" s="25"/>
    </row>
    <row r="59" spans="7:23">
      <c r="G59" s="97">
        <f t="shared" si="6"/>
        <v>1500</v>
      </c>
      <c r="H59" s="97" t="s">
        <v>5784</v>
      </c>
      <c r="I59" s="97">
        <v>42500</v>
      </c>
      <c r="J59" s="97" t="s">
        <v>564</v>
      </c>
      <c r="M59" s="25"/>
      <c r="N59" s="25"/>
      <c r="O59" s="25"/>
      <c r="P59" s="25"/>
      <c r="Q59" s="69"/>
      <c r="R59" s="25"/>
      <c r="S59" s="69"/>
      <c r="T59" s="25"/>
      <c r="U59" s="25"/>
      <c r="V59" s="25"/>
      <c r="W59" s="25"/>
    </row>
    <row r="60" spans="7:23">
      <c r="G60" s="97">
        <f t="shared" si="6"/>
        <v>1500</v>
      </c>
      <c r="H60" s="97" t="s">
        <v>5784</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5784</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5822</v>
      </c>
    </row>
    <row r="30" spans="5:35">
      <c r="R30" s="94"/>
      <c r="S30" s="94"/>
      <c r="T30" s="94"/>
      <c r="U30" s="94"/>
      <c r="V30" s="94"/>
      <c r="W30" s="41" t="s">
        <v>5821</v>
      </c>
      <c r="X30" s="41">
        <v>9944625742</v>
      </c>
      <c r="Y30" s="41">
        <v>120</v>
      </c>
      <c r="Z30" s="41" t="s">
        <v>4488</v>
      </c>
      <c r="AA30" s="94" t="s">
        <v>5808</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5928</v>
      </c>
      <c r="B1" s="207" t="s">
        <v>4422</v>
      </c>
      <c r="C1" s="207" t="s">
        <v>6448</v>
      </c>
      <c r="D1" s="207" t="s">
        <v>5927</v>
      </c>
      <c r="E1" s="207" t="s">
        <v>4835</v>
      </c>
      <c r="F1" s="207" t="s">
        <v>5930</v>
      </c>
      <c r="G1" s="207" t="s">
        <v>5932</v>
      </c>
      <c r="H1" s="207"/>
      <c r="I1" s="207"/>
      <c r="J1" s="207"/>
      <c r="K1" s="207"/>
      <c r="L1" s="207" t="s">
        <v>6449</v>
      </c>
      <c r="M1" s="207">
        <v>10000000000</v>
      </c>
      <c r="N1" s="207"/>
      <c r="O1" s="207"/>
      <c r="P1" s="207"/>
      <c r="Q1" s="207"/>
      <c r="R1" s="207"/>
      <c r="S1" s="207"/>
      <c r="T1" s="207"/>
      <c r="U1" s="207"/>
      <c r="V1" s="207"/>
      <c r="W1" s="207"/>
      <c r="X1" s="207"/>
      <c r="Y1" s="207"/>
      <c r="Z1" s="207"/>
      <c r="AA1" s="207"/>
      <c r="AB1" s="207"/>
      <c r="AC1" s="207"/>
    </row>
    <row r="2" spans="1:29">
      <c r="A2" s="207" t="s">
        <v>5947</v>
      </c>
      <c r="B2" s="207">
        <v>52293239</v>
      </c>
      <c r="C2" s="207">
        <f t="shared" ref="C2:C33" si="0">D2+E2</f>
        <v>2605542578</v>
      </c>
      <c r="D2" s="207" t="s">
        <v>5948</v>
      </c>
      <c r="E2" s="207" t="s">
        <v>5949</v>
      </c>
      <c r="F2" s="207" t="s">
        <v>5950</v>
      </c>
      <c r="G2" s="207" t="s">
        <v>5951</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5934</v>
      </c>
      <c r="B3" s="313">
        <v>39356047</v>
      </c>
      <c r="C3" s="207">
        <f t="shared" si="0"/>
        <v>3355161798</v>
      </c>
      <c r="D3" s="207" t="s">
        <v>5936</v>
      </c>
      <c r="E3" s="207" t="s">
        <v>5937</v>
      </c>
      <c r="F3" s="207" t="s">
        <v>5939</v>
      </c>
      <c r="G3" s="207" t="s">
        <v>5940</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5974</v>
      </c>
      <c r="B4" s="313">
        <v>27272507</v>
      </c>
      <c r="C4" s="207">
        <f t="shared" si="0"/>
        <v>2003857980</v>
      </c>
      <c r="D4" s="207" t="s">
        <v>5948</v>
      </c>
      <c r="E4" s="179" t="s">
        <v>5975</v>
      </c>
      <c r="F4" s="207" t="s">
        <v>5976</v>
      </c>
      <c r="G4" s="207" t="s">
        <v>5977</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5978</v>
      </c>
      <c r="B5" s="313">
        <v>17936330</v>
      </c>
      <c r="C5" s="207">
        <f t="shared" si="0"/>
        <v>4161561525</v>
      </c>
      <c r="D5" s="207" t="s">
        <v>5948</v>
      </c>
      <c r="E5" s="207" t="s">
        <v>5979</v>
      </c>
      <c r="F5" s="207" t="s">
        <v>5980</v>
      </c>
      <c r="G5" s="207" t="s">
        <v>5981</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5958</v>
      </c>
      <c r="B6" s="313">
        <v>15219631</v>
      </c>
      <c r="C6" s="207">
        <f t="shared" si="0"/>
        <v>1037466348</v>
      </c>
      <c r="D6" s="207" t="s">
        <v>5960</v>
      </c>
      <c r="E6" s="207" t="s">
        <v>5961</v>
      </c>
      <c r="F6" s="179" t="s">
        <v>5962</v>
      </c>
      <c r="G6" s="207" t="s">
        <v>5963</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6008</v>
      </c>
      <c r="B7" s="313">
        <v>12077909</v>
      </c>
      <c r="C7" s="207">
        <f t="shared" si="0"/>
        <v>499499998</v>
      </c>
      <c r="D7" s="207" t="s">
        <v>5948</v>
      </c>
      <c r="E7" s="207" t="s">
        <v>6009</v>
      </c>
      <c r="F7" s="207" t="s">
        <v>6010</v>
      </c>
      <c r="G7" s="207" t="s">
        <v>6011</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6041</v>
      </c>
      <c r="B8" s="313">
        <v>11039958</v>
      </c>
      <c r="C8" s="207">
        <f t="shared" si="0"/>
        <v>2802020000</v>
      </c>
      <c r="D8" s="207" t="s">
        <v>5948</v>
      </c>
      <c r="E8" s="207" t="s">
        <v>6042</v>
      </c>
      <c r="F8" s="207" t="s">
        <v>6043</v>
      </c>
      <c r="G8" s="207" t="s">
        <v>6044</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5998</v>
      </c>
      <c r="B9" s="313">
        <v>6743250</v>
      </c>
      <c r="C9" s="207">
        <f t="shared" si="0"/>
        <v>337500000</v>
      </c>
      <c r="D9" s="207" t="s">
        <v>5948</v>
      </c>
      <c r="E9" s="207" t="s">
        <v>6000</v>
      </c>
      <c r="F9" s="207" t="s">
        <v>6001</v>
      </c>
      <c r="G9" s="207" t="s">
        <v>6002</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6032</v>
      </c>
      <c r="B10" s="313">
        <v>6591899</v>
      </c>
      <c r="C10" s="207">
        <f t="shared" si="0"/>
        <v>978026662</v>
      </c>
      <c r="D10" s="207" t="s">
        <v>5948</v>
      </c>
      <c r="E10" s="207" t="s">
        <v>6033</v>
      </c>
      <c r="F10" s="207" t="s">
        <v>6034</v>
      </c>
      <c r="G10" s="207" t="s">
        <v>6035</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5941</v>
      </c>
      <c r="B11" s="313">
        <v>6515494</v>
      </c>
      <c r="C11" s="207">
        <f t="shared" si="0"/>
        <v>137024073</v>
      </c>
      <c r="D11" s="207" t="s">
        <v>5943</v>
      </c>
      <c r="E11" s="207" t="s">
        <v>5944</v>
      </c>
      <c r="F11" s="207" t="s">
        <v>5945</v>
      </c>
      <c r="G11" s="207" t="s">
        <v>5946</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5952</v>
      </c>
      <c r="B12" s="313">
        <v>5962560</v>
      </c>
      <c r="C12" s="207">
        <f t="shared" si="0"/>
        <v>1242200000</v>
      </c>
      <c r="D12" s="207" t="s">
        <v>5954</v>
      </c>
      <c r="E12" s="207" t="s">
        <v>5955</v>
      </c>
      <c r="F12" s="207" t="s">
        <v>5956</v>
      </c>
      <c r="G12" s="207" t="s">
        <v>5957</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6077</v>
      </c>
      <c r="B13" s="313">
        <v>4690527</v>
      </c>
      <c r="C13" s="207">
        <f t="shared" si="0"/>
        <v>623740333</v>
      </c>
      <c r="D13" s="207" t="s">
        <v>5948</v>
      </c>
      <c r="E13" s="207" t="s">
        <v>6078</v>
      </c>
      <c r="F13" s="207" t="s">
        <v>6079</v>
      </c>
      <c r="G13" s="207" t="s">
        <v>6080</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6073</v>
      </c>
      <c r="B14" s="313">
        <v>4423541</v>
      </c>
      <c r="C14" s="207">
        <f t="shared" si="0"/>
        <v>118276522</v>
      </c>
      <c r="D14" s="207" t="s">
        <v>5948</v>
      </c>
      <c r="E14" s="207" t="s">
        <v>6074</v>
      </c>
      <c r="F14" s="207" t="s">
        <v>6075</v>
      </c>
      <c r="G14" s="207" t="s">
        <v>6076</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6270</v>
      </c>
      <c r="B15" s="313">
        <v>4228226</v>
      </c>
      <c r="C15" s="207">
        <f t="shared" si="0"/>
        <v>106322321</v>
      </c>
      <c r="D15" s="207" t="s">
        <v>5948</v>
      </c>
      <c r="E15" s="207" t="s">
        <v>6271</v>
      </c>
      <c r="F15" s="207" t="s">
        <v>5948</v>
      </c>
      <c r="G15" s="207" t="s">
        <v>6272</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6086</v>
      </c>
      <c r="B16" s="313">
        <v>3555770</v>
      </c>
      <c r="C16" s="207">
        <f t="shared" si="0"/>
        <v>183381668</v>
      </c>
      <c r="D16" s="207" t="s">
        <v>5948</v>
      </c>
      <c r="E16" s="207" t="s">
        <v>6087</v>
      </c>
      <c r="F16" s="207" t="s">
        <v>6088</v>
      </c>
      <c r="G16" s="207" t="s">
        <v>6089</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6059</v>
      </c>
      <c r="B17" s="313">
        <v>3392316</v>
      </c>
      <c r="C17" s="207">
        <f t="shared" si="0"/>
        <v>1015663732</v>
      </c>
      <c r="D17" s="207" t="s">
        <v>5948</v>
      </c>
      <c r="E17" s="207" t="s">
        <v>6060</v>
      </c>
      <c r="F17" s="207" t="s">
        <v>6061</v>
      </c>
      <c r="G17" s="207" t="s">
        <v>6062</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5982</v>
      </c>
      <c r="B18" s="313">
        <v>3321096</v>
      </c>
      <c r="C18" s="207">
        <f t="shared" si="0"/>
        <v>254880755</v>
      </c>
      <c r="D18" s="207" t="s">
        <v>5948</v>
      </c>
      <c r="E18" s="207" t="s">
        <v>5983</v>
      </c>
      <c r="F18" s="207" t="s">
        <v>5984</v>
      </c>
      <c r="G18" s="207" t="s">
        <v>5985</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6028</v>
      </c>
      <c r="B19" s="313">
        <v>2708729</v>
      </c>
      <c r="C19" s="207">
        <f t="shared" si="0"/>
        <v>158220192</v>
      </c>
      <c r="D19" s="207" t="s">
        <v>5948</v>
      </c>
      <c r="E19" s="207" t="s">
        <v>6029</v>
      </c>
      <c r="F19" s="207" t="s">
        <v>6030</v>
      </c>
      <c r="G19" s="207" t="s">
        <v>6031</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5970</v>
      </c>
      <c r="B20" s="313">
        <v>2623529</v>
      </c>
      <c r="C20" s="207">
        <f t="shared" si="0"/>
        <v>101805550</v>
      </c>
      <c r="D20" s="207" t="s">
        <v>5948</v>
      </c>
      <c r="E20" s="207" t="s">
        <v>5971</v>
      </c>
      <c r="F20" s="207" t="s">
        <v>5972</v>
      </c>
      <c r="G20" s="207" t="s">
        <v>5973</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5964</v>
      </c>
      <c r="B21" s="313">
        <v>2224069</v>
      </c>
      <c r="C21" s="207">
        <f t="shared" si="0"/>
        <v>30270982</v>
      </c>
      <c r="D21" s="207" t="s">
        <v>5966</v>
      </c>
      <c r="E21" s="207" t="s">
        <v>5967</v>
      </c>
      <c r="F21" s="207" t="s">
        <v>5968</v>
      </c>
      <c r="G21" s="207" t="s">
        <v>5969</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6090</v>
      </c>
      <c r="B22" s="314" t="s">
        <v>6091</v>
      </c>
      <c r="C22" s="207">
        <f t="shared" si="0"/>
        <v>114588426</v>
      </c>
      <c r="D22" s="207" t="s">
        <v>5948</v>
      </c>
      <c r="E22" s="207" t="s">
        <v>6092</v>
      </c>
      <c r="F22" s="207" t="s">
        <v>6093</v>
      </c>
      <c r="G22" s="207" t="s">
        <v>6094</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6045</v>
      </c>
      <c r="B23" s="314" t="s">
        <v>6046</v>
      </c>
      <c r="C23" s="207">
        <f t="shared" si="0"/>
        <v>735760160</v>
      </c>
      <c r="D23" s="207" t="s">
        <v>6048</v>
      </c>
      <c r="E23" s="207" t="s">
        <v>6049</v>
      </c>
      <c r="F23" s="207" t="s">
        <v>6050</v>
      </c>
      <c r="G23" s="207" t="s">
        <v>6051</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6207</v>
      </c>
      <c r="B24" s="314" t="s">
        <v>6208</v>
      </c>
      <c r="C24" s="207">
        <f t="shared" si="0"/>
        <v>4044500</v>
      </c>
      <c r="D24" s="207" t="s">
        <v>5948</v>
      </c>
      <c r="E24" s="207" t="s">
        <v>6209</v>
      </c>
      <c r="F24" s="207" t="s">
        <v>6193</v>
      </c>
      <c r="G24" s="207" t="s">
        <v>6210</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6119</v>
      </c>
      <c r="B25" s="314" t="s">
        <v>6120</v>
      </c>
      <c r="C25" s="207">
        <f t="shared" si="0"/>
        <v>53400000</v>
      </c>
      <c r="D25" s="207" t="s">
        <v>5948</v>
      </c>
      <c r="E25" s="207" t="s">
        <v>6121</v>
      </c>
      <c r="F25" s="207" t="s">
        <v>6122</v>
      </c>
      <c r="G25" s="207" t="s">
        <v>6123</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5993</v>
      </c>
      <c r="B26" s="314" t="s">
        <v>5994</v>
      </c>
      <c r="C26" s="207">
        <f t="shared" si="0"/>
        <v>36391574</v>
      </c>
      <c r="D26" s="207" t="s">
        <v>5948</v>
      </c>
      <c r="E26" s="207" t="s">
        <v>5995</v>
      </c>
      <c r="F26" s="207" t="s">
        <v>5996</v>
      </c>
      <c r="G26" s="207" t="s">
        <v>5997</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6036</v>
      </c>
      <c r="B27" s="314" t="s">
        <v>6037</v>
      </c>
      <c r="C27" s="207">
        <f t="shared" si="0"/>
        <v>29296590</v>
      </c>
      <c r="D27" s="207" t="s">
        <v>5948</v>
      </c>
      <c r="E27" s="207" t="s">
        <v>6038</v>
      </c>
      <c r="F27" s="207" t="s">
        <v>6039</v>
      </c>
      <c r="G27" s="207" t="s">
        <v>6040</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6135</v>
      </c>
      <c r="B28" s="314" t="s">
        <v>6136</v>
      </c>
      <c r="C28" s="207">
        <f t="shared" si="0"/>
        <v>32151333</v>
      </c>
      <c r="D28" s="207" t="s">
        <v>5948</v>
      </c>
      <c r="E28" s="207" t="s">
        <v>6137</v>
      </c>
      <c r="F28" s="207" t="s">
        <v>6138</v>
      </c>
      <c r="G28" s="207" t="s">
        <v>6139</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5986</v>
      </c>
      <c r="B29" s="314" t="s">
        <v>5987</v>
      </c>
      <c r="C29" s="207">
        <f t="shared" si="0"/>
        <v>23043086</v>
      </c>
      <c r="D29" s="207" t="s">
        <v>5989</v>
      </c>
      <c r="E29" s="207" t="s">
        <v>5990</v>
      </c>
      <c r="F29" s="207" t="s">
        <v>5991</v>
      </c>
      <c r="G29" s="207" t="s">
        <v>5992</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6099</v>
      </c>
      <c r="B30" s="314" t="s">
        <v>6100</v>
      </c>
      <c r="C30" s="207">
        <f t="shared" si="0"/>
        <v>126674402</v>
      </c>
      <c r="D30" s="207" t="s">
        <v>5948</v>
      </c>
      <c r="E30" s="207" t="s">
        <v>6101</v>
      </c>
      <c r="F30" s="207" t="s">
        <v>6102</v>
      </c>
      <c r="G30" s="207" t="s">
        <v>6103</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6068</v>
      </c>
      <c r="B31" s="314" t="s">
        <v>6069</v>
      </c>
      <c r="C31" s="207">
        <f t="shared" si="0"/>
        <v>182160000</v>
      </c>
      <c r="D31" s="207" t="s">
        <v>5948</v>
      </c>
      <c r="E31" s="207" t="s">
        <v>6070</v>
      </c>
      <c r="F31" s="207" t="s">
        <v>6071</v>
      </c>
      <c r="G31" s="207" t="s">
        <v>6072</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6114</v>
      </c>
      <c r="B32" s="314" t="s">
        <v>6115</v>
      </c>
      <c r="C32" s="207">
        <f t="shared" si="0"/>
        <v>67919940</v>
      </c>
      <c r="D32" s="207" t="s">
        <v>5948</v>
      </c>
      <c r="E32" s="207" t="s">
        <v>6116</v>
      </c>
      <c r="F32" s="207" t="s">
        <v>6117</v>
      </c>
      <c r="G32" s="207" t="s">
        <v>6118</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6140</v>
      </c>
      <c r="B33" s="314" t="s">
        <v>6141</v>
      </c>
      <c r="C33" s="207">
        <f t="shared" si="0"/>
        <v>29288000</v>
      </c>
      <c r="D33" s="207" t="s">
        <v>5948</v>
      </c>
      <c r="E33" s="207" t="s">
        <v>6142</v>
      </c>
      <c r="F33" s="207" t="s">
        <v>6143</v>
      </c>
      <c r="G33" s="207" t="s">
        <v>6144</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6150</v>
      </c>
      <c r="B34" s="314" t="s">
        <v>6151</v>
      </c>
      <c r="C34" s="207">
        <f t="shared" ref="C34:C65" si="4">D34+E34</f>
        <v>259990000</v>
      </c>
      <c r="D34" s="207" t="s">
        <v>5948</v>
      </c>
      <c r="E34" s="207" t="s">
        <v>6152</v>
      </c>
      <c r="F34" s="207" t="s">
        <v>6153</v>
      </c>
      <c r="G34" s="207" t="s">
        <v>6154</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6104</v>
      </c>
      <c r="B35" s="314" t="s">
        <v>6105</v>
      </c>
      <c r="C35" s="207">
        <f t="shared" si="4"/>
        <v>6208016</v>
      </c>
      <c r="D35" s="207" t="s">
        <v>5948</v>
      </c>
      <c r="E35" s="207" t="s">
        <v>6106</v>
      </c>
      <c r="F35" s="207" t="s">
        <v>6107</v>
      </c>
      <c r="G35" s="207" t="s">
        <v>6108</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6016</v>
      </c>
      <c r="B36" s="314" t="s">
        <v>6017</v>
      </c>
      <c r="C36" s="207">
        <f t="shared" si="4"/>
        <v>39242697</v>
      </c>
      <c r="D36" s="207" t="s">
        <v>6018</v>
      </c>
      <c r="E36" s="207" t="s">
        <v>6019</v>
      </c>
      <c r="F36" s="207" t="s">
        <v>6020</v>
      </c>
      <c r="G36" s="207" t="s">
        <v>6021</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6145</v>
      </c>
      <c r="B37" s="314" t="s">
        <v>6146</v>
      </c>
      <c r="C37" s="207">
        <f t="shared" si="4"/>
        <v>24338461</v>
      </c>
      <c r="D37" s="207" t="s">
        <v>5948</v>
      </c>
      <c r="E37" s="207" t="s">
        <v>6147</v>
      </c>
      <c r="F37" s="207" t="s">
        <v>6148</v>
      </c>
      <c r="G37" s="207" t="s">
        <v>6149</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6022</v>
      </c>
      <c r="B38" s="314" t="s">
        <v>6023</v>
      </c>
      <c r="C38" s="207">
        <f t="shared" si="4"/>
        <v>35697979</v>
      </c>
      <c r="D38" s="207" t="s">
        <v>5948</v>
      </c>
      <c r="E38" s="207" t="s">
        <v>6025</v>
      </c>
      <c r="F38" s="207" t="s">
        <v>6026</v>
      </c>
      <c r="G38" s="207" t="s">
        <v>6027</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6052</v>
      </c>
      <c r="B39" s="314" t="s">
        <v>6053</v>
      </c>
      <c r="C39" s="207">
        <f t="shared" si="4"/>
        <v>30949707</v>
      </c>
      <c r="D39" s="207" t="s">
        <v>6055</v>
      </c>
      <c r="E39" s="207" t="s">
        <v>6056</v>
      </c>
      <c r="F39" s="207" t="s">
        <v>6057</v>
      </c>
      <c r="G39" s="207" t="s">
        <v>6058</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6012</v>
      </c>
      <c r="B40" s="314" t="s">
        <v>6013</v>
      </c>
      <c r="C40" s="207">
        <f t="shared" si="4"/>
        <v>11270740</v>
      </c>
      <c r="D40" s="207" t="s">
        <v>5948</v>
      </c>
      <c r="E40" s="207" t="s">
        <v>6014</v>
      </c>
      <c r="F40" s="207" t="s">
        <v>6015</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6161</v>
      </c>
      <c r="B41" s="314" t="s">
        <v>6162</v>
      </c>
      <c r="C41" s="207">
        <f t="shared" si="4"/>
        <v>15600000</v>
      </c>
      <c r="D41" s="207" t="s">
        <v>5948</v>
      </c>
      <c r="E41" s="207" t="s">
        <v>6163</v>
      </c>
      <c r="F41" s="207" t="s">
        <v>6164</v>
      </c>
      <c r="G41" s="207" t="s">
        <v>6165</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6003</v>
      </c>
      <c r="B42" s="314" t="s">
        <v>6004</v>
      </c>
      <c r="C42" s="207">
        <f t="shared" si="4"/>
        <v>14702520</v>
      </c>
      <c r="D42" s="207" t="s">
        <v>5948</v>
      </c>
      <c r="E42" s="207" t="s">
        <v>6005</v>
      </c>
      <c r="F42" s="207" t="s">
        <v>6006</v>
      </c>
      <c r="G42" s="207" t="s">
        <v>6007</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6081</v>
      </c>
      <c r="B43" s="314" t="s">
        <v>6082</v>
      </c>
      <c r="C43" s="207">
        <f t="shared" si="4"/>
        <v>13930853</v>
      </c>
      <c r="D43" s="207" t="s">
        <v>5948</v>
      </c>
      <c r="E43" s="207" t="s">
        <v>6083</v>
      </c>
      <c r="F43" s="207" t="s">
        <v>6084</v>
      </c>
      <c r="G43" s="207" t="s">
        <v>6085</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6063</v>
      </c>
      <c r="B44" s="314" t="s">
        <v>6064</v>
      </c>
      <c r="C44" s="207">
        <f t="shared" si="4"/>
        <v>68500000</v>
      </c>
      <c r="D44" s="207" t="s">
        <v>5948</v>
      </c>
      <c r="E44" s="207" t="s">
        <v>6065</v>
      </c>
      <c r="F44" s="207" t="s">
        <v>6066</v>
      </c>
      <c r="G44" s="207" t="s">
        <v>6067</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6166</v>
      </c>
      <c r="B45" s="314" t="s">
        <v>6167</v>
      </c>
      <c r="C45" s="207">
        <f t="shared" si="4"/>
        <v>3000000</v>
      </c>
      <c r="D45" s="207" t="s">
        <v>5948</v>
      </c>
      <c r="E45" s="207" t="s">
        <v>5996</v>
      </c>
      <c r="F45" s="207" t="s">
        <v>6168</v>
      </c>
      <c r="G45" s="207" t="s">
        <v>6169</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6185</v>
      </c>
      <c r="B46" s="314" t="s">
        <v>6186</v>
      </c>
      <c r="C46" s="207">
        <f t="shared" si="4"/>
        <v>12400000</v>
      </c>
      <c r="D46" s="207" t="s">
        <v>5948</v>
      </c>
      <c r="E46" s="207" t="s">
        <v>6187</v>
      </c>
      <c r="F46" s="207" t="s">
        <v>6188</v>
      </c>
      <c r="G46" s="207" t="s">
        <v>6189</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6095</v>
      </c>
      <c r="B47" s="314" t="s">
        <v>6096</v>
      </c>
      <c r="C47" s="207">
        <f t="shared" si="4"/>
        <v>25000000</v>
      </c>
      <c r="D47" s="207" t="s">
        <v>5948</v>
      </c>
      <c r="E47" s="207" t="s">
        <v>6015</v>
      </c>
      <c r="F47" s="207" t="s">
        <v>6097</v>
      </c>
      <c r="G47" s="207" t="s">
        <v>6098</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6170</v>
      </c>
      <c r="B48" s="314" t="s">
        <v>6171</v>
      </c>
      <c r="C48" s="207">
        <f t="shared" si="4"/>
        <v>29000000</v>
      </c>
      <c r="D48" s="207" t="s">
        <v>5948</v>
      </c>
      <c r="E48" s="207" t="s">
        <v>6172</v>
      </c>
      <c r="F48" s="207" t="s">
        <v>6173</v>
      </c>
      <c r="G48" s="207" t="s">
        <v>6174</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6198</v>
      </c>
      <c r="B49" s="314" t="s">
        <v>6199</v>
      </c>
      <c r="C49" s="207">
        <f t="shared" si="4"/>
        <v>12691397</v>
      </c>
      <c r="D49" s="207" t="s">
        <v>5948</v>
      </c>
      <c r="E49" s="207" t="s">
        <v>6200</v>
      </c>
      <c r="F49" s="207" t="s">
        <v>6201</v>
      </c>
      <c r="G49" s="207" t="s">
        <v>6202</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6190</v>
      </c>
      <c r="B50" s="314" t="s">
        <v>6191</v>
      </c>
      <c r="C50" s="207">
        <f t="shared" si="4"/>
        <v>4639508</v>
      </c>
      <c r="D50" s="207" t="s">
        <v>5948</v>
      </c>
      <c r="E50" s="207" t="s">
        <v>6192</v>
      </c>
      <c r="F50" s="207" t="s">
        <v>6193</v>
      </c>
      <c r="G50" s="207" t="s">
        <v>6194</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6130</v>
      </c>
      <c r="B51" s="314" t="s">
        <v>6131</v>
      </c>
      <c r="C51" s="207">
        <f t="shared" si="4"/>
        <v>9242699</v>
      </c>
      <c r="D51" s="207" t="s">
        <v>5948</v>
      </c>
      <c r="E51" s="207" t="s">
        <v>6132</v>
      </c>
      <c r="F51" s="207" t="s">
        <v>6133</v>
      </c>
      <c r="G51" s="207" t="s">
        <v>6134</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6124</v>
      </c>
      <c r="B52" s="314" t="s">
        <v>6125</v>
      </c>
      <c r="C52" s="207">
        <f t="shared" si="4"/>
        <v>12000000</v>
      </c>
      <c r="D52" s="207" t="s">
        <v>5948</v>
      </c>
      <c r="E52" s="207" t="s">
        <v>6127</v>
      </c>
      <c r="F52" s="207" t="s">
        <v>6128</v>
      </c>
      <c r="G52" s="207" t="s">
        <v>6129</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6180</v>
      </c>
      <c r="B53" s="314" t="s">
        <v>6181</v>
      </c>
      <c r="C53" s="207">
        <f t="shared" si="4"/>
        <v>18333333</v>
      </c>
      <c r="D53" s="207" t="s">
        <v>5948</v>
      </c>
      <c r="E53" s="207" t="s">
        <v>6182</v>
      </c>
      <c r="F53" s="207" t="s">
        <v>6183</v>
      </c>
      <c r="G53" s="207" t="s">
        <v>6184</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6155</v>
      </c>
      <c r="B54" s="314" t="s">
        <v>6156</v>
      </c>
      <c r="C54" s="207">
        <f t="shared" si="4"/>
        <v>10686057</v>
      </c>
      <c r="D54" s="207" t="s">
        <v>6157</v>
      </c>
      <c r="E54" s="207" t="s">
        <v>6158</v>
      </c>
      <c r="F54" s="207" t="s">
        <v>6159</v>
      </c>
      <c r="G54" s="207" t="s">
        <v>6160</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6109</v>
      </c>
      <c r="B55" s="314" t="s">
        <v>6110</v>
      </c>
      <c r="C55" s="207">
        <f t="shared" si="4"/>
        <v>6210524</v>
      </c>
      <c r="D55" s="207" t="s">
        <v>5948</v>
      </c>
      <c r="E55" s="207" t="s">
        <v>6111</v>
      </c>
      <c r="F55" s="207" t="s">
        <v>6112</v>
      </c>
      <c r="G55" s="207" t="s">
        <v>6113</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6234</v>
      </c>
      <c r="B56" s="314" t="s">
        <v>6235</v>
      </c>
      <c r="C56" s="207">
        <f t="shared" si="4"/>
        <v>2660000</v>
      </c>
      <c r="D56" s="207" t="s">
        <v>5948</v>
      </c>
      <c r="E56" s="207" t="s">
        <v>6236</v>
      </c>
      <c r="F56" s="207" t="s">
        <v>6237</v>
      </c>
      <c r="G56" s="207" t="s">
        <v>6238</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6211</v>
      </c>
      <c r="B57" s="314" t="s">
        <v>6212</v>
      </c>
      <c r="C57" s="207">
        <f t="shared" si="4"/>
        <v>4333333</v>
      </c>
      <c r="D57" s="207" t="s">
        <v>5948</v>
      </c>
      <c r="E57" s="207" t="s">
        <v>6213</v>
      </c>
      <c r="F57" s="207" t="s">
        <v>6214</v>
      </c>
      <c r="G57" s="207" t="s">
        <v>6215</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6216</v>
      </c>
      <c r="B58" s="314" t="s">
        <v>6217</v>
      </c>
      <c r="C58" s="207">
        <f t="shared" si="4"/>
        <v>469533</v>
      </c>
      <c r="D58" s="207" t="s">
        <v>5948</v>
      </c>
      <c r="E58" s="207" t="s">
        <v>6218</v>
      </c>
      <c r="F58" s="207" t="s">
        <v>6219</v>
      </c>
      <c r="G58" s="207" t="s">
        <v>6220</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6263</v>
      </c>
      <c r="B59" s="314" t="s">
        <v>6262</v>
      </c>
      <c r="C59" s="207">
        <f t="shared" si="4"/>
        <v>5076558</v>
      </c>
      <c r="D59" s="207" t="s">
        <v>6264</v>
      </c>
      <c r="E59" s="207" t="s">
        <v>5948</v>
      </c>
      <c r="F59" s="207" t="s">
        <v>6201</v>
      </c>
      <c r="G59" s="207" t="s">
        <v>6265</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5941</v>
      </c>
      <c r="B60" s="314" t="s">
        <v>6203</v>
      </c>
      <c r="C60" s="207">
        <f t="shared" si="4"/>
        <v>1144000</v>
      </c>
      <c r="D60" s="207" t="s">
        <v>5948</v>
      </c>
      <c r="E60" s="207" t="s">
        <v>6204</v>
      </c>
      <c r="F60" s="207" t="s">
        <v>6205</v>
      </c>
      <c r="G60" s="207" t="s">
        <v>6206</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6175</v>
      </c>
      <c r="B61" s="314" t="s">
        <v>6176</v>
      </c>
      <c r="C61" s="207">
        <f t="shared" si="4"/>
        <v>2000000</v>
      </c>
      <c r="D61" s="207" t="s">
        <v>5948</v>
      </c>
      <c r="E61" s="207" t="s">
        <v>6177</v>
      </c>
      <c r="F61" s="207" t="s">
        <v>6178</v>
      </c>
      <c r="G61" s="207" t="s">
        <v>6179</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6225</v>
      </c>
      <c r="B62" s="314" t="s">
        <v>6226</v>
      </c>
      <c r="C62" s="207">
        <f t="shared" si="4"/>
        <v>1469425</v>
      </c>
      <c r="D62" s="207" t="s">
        <v>5948</v>
      </c>
      <c r="E62" s="207" t="s">
        <v>6227</v>
      </c>
      <c r="F62" s="207" t="s">
        <v>6228</v>
      </c>
      <c r="G62" s="207" t="s">
        <v>6229</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6221</v>
      </c>
      <c r="B63" s="314" t="s">
        <v>6222</v>
      </c>
      <c r="C63" s="207">
        <f t="shared" si="4"/>
        <v>1888175</v>
      </c>
      <c r="D63" s="207" t="s">
        <v>5948</v>
      </c>
      <c r="E63" s="207" t="s">
        <v>6223</v>
      </c>
      <c r="F63" s="207" t="s">
        <v>6015</v>
      </c>
      <c r="G63" s="207" t="s">
        <v>6224</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5938</v>
      </c>
      <c r="B64" s="314" t="s">
        <v>6195</v>
      </c>
      <c r="C64" s="207">
        <f t="shared" si="4"/>
        <v>15200000</v>
      </c>
      <c r="D64" s="207" t="s">
        <v>5948</v>
      </c>
      <c r="E64" s="207" t="s">
        <v>6196</v>
      </c>
      <c r="F64" s="207" t="s">
        <v>6034</v>
      </c>
      <c r="G64" s="207" t="s">
        <v>6197</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6239</v>
      </c>
      <c r="B65" s="314" t="s">
        <v>6240</v>
      </c>
      <c r="C65" s="207">
        <f t="shared" si="4"/>
        <v>364567</v>
      </c>
      <c r="D65" s="207" t="s">
        <v>5948</v>
      </c>
      <c r="E65" s="207" t="s">
        <v>6241</v>
      </c>
      <c r="F65" s="207" t="s">
        <v>6138</v>
      </c>
      <c r="G65" s="207" t="s">
        <v>6242</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6230</v>
      </c>
      <c r="B66" s="314" t="s">
        <v>6231</v>
      </c>
      <c r="C66" s="207">
        <f t="shared" ref="C66:C70" si="5">D66+E66</f>
        <v>474991</v>
      </c>
      <c r="D66" s="207" t="s">
        <v>5948</v>
      </c>
      <c r="E66" s="207" t="s">
        <v>6232</v>
      </c>
      <c r="F66" s="207" t="s">
        <v>6079</v>
      </c>
      <c r="G66" s="207" t="s">
        <v>6233</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6249</v>
      </c>
      <c r="B67" s="314" t="s">
        <v>6250</v>
      </c>
      <c r="C67" s="207">
        <f t="shared" si="5"/>
        <v>35981</v>
      </c>
      <c r="D67" s="207" t="s">
        <v>5948</v>
      </c>
      <c r="E67" s="207" t="s">
        <v>6251</v>
      </c>
      <c r="F67" s="207" t="s">
        <v>6252</v>
      </c>
      <c r="G67" s="207" t="s">
        <v>6253</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6243</v>
      </c>
      <c r="B68" s="314" t="s">
        <v>6244</v>
      </c>
      <c r="C68" s="207">
        <f t="shared" si="5"/>
        <v>3000</v>
      </c>
      <c r="D68" s="207" t="s">
        <v>6246</v>
      </c>
      <c r="E68" s="207" t="s">
        <v>6247</v>
      </c>
      <c r="F68" s="207" t="s">
        <v>6034</v>
      </c>
      <c r="G68" s="207" t="s">
        <v>6248</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6254</v>
      </c>
      <c r="B69" s="314" t="s">
        <v>6255</v>
      </c>
      <c r="C69" s="207">
        <f t="shared" si="5"/>
        <v>2666</v>
      </c>
      <c r="D69" s="207" t="s">
        <v>5948</v>
      </c>
      <c r="E69" s="207" t="s">
        <v>6257</v>
      </c>
      <c r="F69" s="207" t="s">
        <v>6079</v>
      </c>
      <c r="G69" s="207" t="s">
        <v>6258</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6259</v>
      </c>
      <c r="B70" s="314" t="s">
        <v>5948</v>
      </c>
      <c r="C70" s="207">
        <f t="shared" si="5"/>
        <v>0</v>
      </c>
      <c r="D70" s="207" t="s">
        <v>6260</v>
      </c>
      <c r="E70" s="207" t="s">
        <v>6048</v>
      </c>
      <c r="F70" s="207" t="s">
        <v>6050</v>
      </c>
      <c r="G70" s="207" t="s">
        <v>6261</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6266</v>
      </c>
      <c r="B71" s="314" t="s">
        <v>5948</v>
      </c>
      <c r="C71" s="207"/>
      <c r="D71" s="207" t="s">
        <v>5948</v>
      </c>
      <c r="E71" s="207" t="s">
        <v>6267</v>
      </c>
      <c r="F71" s="207" t="s">
        <v>6268</v>
      </c>
      <c r="G71" s="207" t="s">
        <v>6269</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5933</v>
      </c>
      <c r="I82" s="207" t="s">
        <v>191</v>
      </c>
      <c r="J82" s="207" t="s">
        <v>6450</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6273</v>
      </c>
      <c r="C1" s="207"/>
      <c r="D1" s="207"/>
      <c r="E1" s="207"/>
      <c r="F1" s="207"/>
      <c r="G1" s="207"/>
      <c r="H1" s="207"/>
      <c r="I1" s="207"/>
      <c r="J1" s="207"/>
      <c r="K1" s="207"/>
      <c r="L1" s="207"/>
      <c r="M1" s="207"/>
      <c r="N1" s="207"/>
      <c r="O1" s="207"/>
      <c r="P1" s="207"/>
      <c r="Q1" s="207"/>
      <c r="R1" s="207"/>
      <c r="S1" s="207"/>
      <c r="T1" s="207"/>
      <c r="U1" s="207" t="s">
        <v>6274</v>
      </c>
      <c r="V1" s="207"/>
      <c r="W1" s="207"/>
      <c r="X1" s="207"/>
      <c r="Y1" s="207" t="s">
        <v>5930</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5931</v>
      </c>
      <c r="D2" s="207"/>
      <c r="E2" s="207"/>
      <c r="F2" s="207" t="s">
        <v>5929</v>
      </c>
      <c r="G2" s="207"/>
      <c r="H2" s="207"/>
      <c r="I2" s="207" t="s">
        <v>5931</v>
      </c>
      <c r="J2" s="207"/>
      <c r="K2" s="207"/>
      <c r="L2" s="207" t="s">
        <v>4835</v>
      </c>
      <c r="M2" s="207"/>
      <c r="N2" s="207"/>
      <c r="O2" s="207"/>
      <c r="P2" s="207"/>
      <c r="Q2" s="207" t="s">
        <v>5931</v>
      </c>
      <c r="R2" s="207"/>
      <c r="S2" s="207"/>
      <c r="T2" s="207" t="s">
        <v>4835</v>
      </c>
      <c r="U2" s="207"/>
      <c r="V2" s="207"/>
      <c r="W2" s="207"/>
      <c r="X2" s="207"/>
      <c r="Y2" s="207"/>
      <c r="Z2" s="207"/>
      <c r="AA2" s="207"/>
      <c r="AB2" s="207" t="s">
        <v>5932</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6275</v>
      </c>
      <c r="B4" s="207"/>
      <c r="C4" s="207" t="s">
        <v>6276</v>
      </c>
      <c r="D4" s="207"/>
      <c r="E4" s="207"/>
      <c r="F4" s="207" t="s">
        <v>6277</v>
      </c>
      <c r="G4" s="207"/>
      <c r="H4" s="207"/>
      <c r="I4" s="207" t="s">
        <v>6278</v>
      </c>
      <c r="J4" s="207"/>
      <c r="K4" s="207"/>
      <c r="L4" s="207"/>
      <c r="M4" s="207"/>
      <c r="N4" s="207" t="s">
        <v>6279</v>
      </c>
      <c r="O4" s="207"/>
      <c r="P4" s="207"/>
      <c r="Q4" s="207" t="s">
        <v>6280</v>
      </c>
      <c r="R4" s="207"/>
      <c r="S4" s="207"/>
      <c r="T4" s="207"/>
      <c r="U4" s="207" t="s">
        <v>6281</v>
      </c>
      <c r="V4" s="207"/>
      <c r="W4" s="207"/>
      <c r="X4" s="207"/>
      <c r="Y4" s="207" t="s">
        <v>5938</v>
      </c>
      <c r="Z4" s="207"/>
      <c r="AA4" s="207" t="s">
        <v>6282</v>
      </c>
      <c r="AB4" s="207"/>
      <c r="AC4" s="207"/>
      <c r="AD4" s="207" t="s">
        <v>6283</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6284</v>
      </c>
      <c r="B6" s="207"/>
      <c r="C6" s="207" t="s">
        <v>6285</v>
      </c>
      <c r="D6" s="207"/>
      <c r="E6" s="207"/>
      <c r="F6" s="207" t="s">
        <v>6286</v>
      </c>
      <c r="G6" s="207"/>
      <c r="H6" s="207"/>
      <c r="I6" s="207" t="s">
        <v>5948</v>
      </c>
      <c r="J6" s="207"/>
      <c r="K6" s="207"/>
      <c r="L6" s="207"/>
      <c r="M6" s="207"/>
      <c r="N6" s="207" t="s">
        <v>5948</v>
      </c>
      <c r="O6" s="207"/>
      <c r="P6" s="207"/>
      <c r="Q6" s="207" t="s">
        <v>6285</v>
      </c>
      <c r="R6" s="207"/>
      <c r="S6" s="207"/>
      <c r="T6" s="207"/>
      <c r="U6" s="207" t="s">
        <v>6287</v>
      </c>
      <c r="V6" s="207"/>
      <c r="W6" s="207"/>
      <c r="X6" s="207"/>
      <c r="Y6" s="207" t="s">
        <v>5938</v>
      </c>
      <c r="Z6" s="207"/>
      <c r="AA6" s="207" t="s">
        <v>6288</v>
      </c>
      <c r="AB6" s="207"/>
      <c r="AC6" s="207"/>
      <c r="AD6" s="207" t="s">
        <v>6289</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6290</v>
      </c>
      <c r="B7" s="207"/>
      <c r="C7" s="207" t="s">
        <v>6291</v>
      </c>
      <c r="D7" s="207"/>
      <c r="E7" s="207"/>
      <c r="F7" s="207" t="s">
        <v>6292</v>
      </c>
      <c r="G7" s="207"/>
      <c r="H7" s="207"/>
      <c r="I7" s="207" t="s">
        <v>5948</v>
      </c>
      <c r="J7" s="207"/>
      <c r="K7" s="207"/>
      <c r="L7" s="207"/>
      <c r="M7" s="207"/>
      <c r="N7" s="207" t="s">
        <v>5948</v>
      </c>
      <c r="O7" s="207"/>
      <c r="P7" s="207"/>
      <c r="Q7" s="207" t="s">
        <v>6291</v>
      </c>
      <c r="R7" s="207"/>
      <c r="S7" s="207"/>
      <c r="T7" s="207"/>
      <c r="U7" s="207" t="s">
        <v>6293</v>
      </c>
      <c r="V7" s="207"/>
      <c r="W7" s="207"/>
      <c r="X7" s="207"/>
      <c r="Y7" s="207" t="s">
        <v>5938</v>
      </c>
      <c r="Z7" s="207"/>
      <c r="AA7" s="207" t="s">
        <v>6294</v>
      </c>
      <c r="AB7" s="207"/>
      <c r="AC7" s="207"/>
      <c r="AD7" s="207" t="s">
        <v>6295</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6296</v>
      </c>
      <c r="B8" s="207"/>
      <c r="C8" s="207" t="s">
        <v>6297</v>
      </c>
      <c r="D8" s="207"/>
      <c r="E8" s="207"/>
      <c r="F8" s="207" t="s">
        <v>6298</v>
      </c>
      <c r="G8" s="207"/>
      <c r="H8" s="207"/>
      <c r="I8" s="207" t="s">
        <v>5948</v>
      </c>
      <c r="J8" s="207"/>
      <c r="K8" s="207"/>
      <c r="L8" s="207"/>
      <c r="M8" s="207"/>
      <c r="N8" s="207" t="s">
        <v>5948</v>
      </c>
      <c r="O8" s="207"/>
      <c r="P8" s="207"/>
      <c r="Q8" s="207" t="s">
        <v>6297</v>
      </c>
      <c r="R8" s="207"/>
      <c r="S8" s="207"/>
      <c r="T8" s="207"/>
      <c r="U8" s="207" t="s">
        <v>6299</v>
      </c>
      <c r="V8" s="207"/>
      <c r="W8" s="207"/>
      <c r="X8" s="207"/>
      <c r="Y8" s="207" t="s">
        <v>6300</v>
      </c>
      <c r="Z8" s="207"/>
      <c r="AA8" s="207" t="s">
        <v>5996</v>
      </c>
      <c r="AB8" s="207"/>
      <c r="AC8" s="207"/>
      <c r="AD8" s="207" t="s">
        <v>6301</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6302</v>
      </c>
      <c r="B9" s="207"/>
      <c r="C9" s="207" t="s">
        <v>6303</v>
      </c>
      <c r="D9" s="207"/>
      <c r="E9" s="207"/>
      <c r="F9" s="207" t="s">
        <v>6304</v>
      </c>
      <c r="G9" s="207"/>
      <c r="H9" s="207"/>
      <c r="I9" s="207" t="s">
        <v>5948</v>
      </c>
      <c r="J9" s="207"/>
      <c r="K9" s="207"/>
      <c r="L9" s="207"/>
      <c r="M9" s="207"/>
      <c r="N9" s="207" t="s">
        <v>5948</v>
      </c>
      <c r="O9" s="207"/>
      <c r="P9" s="207"/>
      <c r="Q9" s="207" t="s">
        <v>6303</v>
      </c>
      <c r="R9" s="207"/>
      <c r="S9" s="207"/>
      <c r="T9" s="207"/>
      <c r="U9" s="207" t="s">
        <v>6305</v>
      </c>
      <c r="V9" s="207"/>
      <c r="W9" s="207"/>
      <c r="X9" s="207"/>
      <c r="Y9" s="207" t="s">
        <v>6300</v>
      </c>
      <c r="Z9" s="207"/>
      <c r="AA9" s="207" t="s">
        <v>6268</v>
      </c>
      <c r="AB9" s="207"/>
      <c r="AC9" s="207"/>
      <c r="AD9" s="207" t="s">
        <v>6306</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6307</v>
      </c>
      <c r="B10" s="207"/>
      <c r="C10" s="207" t="s">
        <v>6308</v>
      </c>
      <c r="D10" s="207"/>
      <c r="E10" s="207"/>
      <c r="F10" s="207" t="s">
        <v>6309</v>
      </c>
      <c r="G10" s="207"/>
      <c r="H10" s="207"/>
      <c r="I10" s="207" t="s">
        <v>5948</v>
      </c>
      <c r="J10" s="207"/>
      <c r="K10" s="207"/>
      <c r="L10" s="207"/>
      <c r="M10" s="207"/>
      <c r="N10" s="207" t="s">
        <v>5948</v>
      </c>
      <c r="O10" s="207"/>
      <c r="P10" s="207"/>
      <c r="Q10" s="207" t="s">
        <v>6308</v>
      </c>
      <c r="R10" s="207"/>
      <c r="S10" s="207"/>
      <c r="T10" s="207"/>
      <c r="U10" s="207" t="s">
        <v>6310</v>
      </c>
      <c r="V10" s="207"/>
      <c r="W10" s="207"/>
      <c r="X10" s="207"/>
      <c r="Y10" s="207" t="s">
        <v>6300</v>
      </c>
      <c r="Z10" s="207"/>
      <c r="AA10" s="207" t="s">
        <v>6311</v>
      </c>
      <c r="AB10" s="207"/>
      <c r="AC10" s="207"/>
      <c r="AD10" s="207" t="s">
        <v>6312</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6313</v>
      </c>
      <c r="B11" s="207"/>
      <c r="C11" s="207" t="s">
        <v>6314</v>
      </c>
      <c r="D11" s="207"/>
      <c r="E11" s="207"/>
      <c r="F11" s="207" t="s">
        <v>6315</v>
      </c>
      <c r="G11" s="207"/>
      <c r="H11" s="207"/>
      <c r="I11" s="207" t="s">
        <v>5948</v>
      </c>
      <c r="J11" s="207"/>
      <c r="K11" s="207"/>
      <c r="L11" s="207"/>
      <c r="M11" s="207"/>
      <c r="N11" s="207" t="s">
        <v>5948</v>
      </c>
      <c r="O11" s="207"/>
      <c r="P11" s="207"/>
      <c r="Q11" s="207" t="s">
        <v>6314</v>
      </c>
      <c r="R11" s="207"/>
      <c r="S11" s="207"/>
      <c r="T11" s="207"/>
      <c r="U11" s="207" t="s">
        <v>6316</v>
      </c>
      <c r="V11" s="207"/>
      <c r="W11" s="207"/>
      <c r="X11" s="207"/>
      <c r="Y11" s="207" t="s">
        <v>6300</v>
      </c>
      <c r="Z11" s="207"/>
      <c r="AA11" s="207" t="s">
        <v>6214</v>
      </c>
      <c r="AB11" s="207"/>
      <c r="AC11" s="207"/>
      <c r="AD11" s="207" t="s">
        <v>6317</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6318</v>
      </c>
      <c r="B12" s="207"/>
      <c r="C12" s="207" t="s">
        <v>6319</v>
      </c>
      <c r="D12" s="207"/>
      <c r="E12" s="207"/>
      <c r="F12" s="207" t="s">
        <v>6320</v>
      </c>
      <c r="G12" s="207"/>
      <c r="H12" s="207"/>
      <c r="I12" s="207" t="s">
        <v>5948</v>
      </c>
      <c r="J12" s="207"/>
      <c r="K12" s="207"/>
      <c r="L12" s="207"/>
      <c r="M12" s="207"/>
      <c r="N12" s="207" t="s">
        <v>5948</v>
      </c>
      <c r="O12" s="207"/>
      <c r="P12" s="207"/>
      <c r="Q12" s="207" t="s">
        <v>6319</v>
      </c>
      <c r="R12" s="207"/>
      <c r="S12" s="207"/>
      <c r="T12" s="207"/>
      <c r="U12" s="207" t="s">
        <v>6321</v>
      </c>
      <c r="V12" s="207"/>
      <c r="W12" s="207"/>
      <c r="X12" s="207"/>
      <c r="Y12" s="207" t="s">
        <v>5938</v>
      </c>
      <c r="Z12" s="207"/>
      <c r="AA12" s="207" t="s">
        <v>6268</v>
      </c>
      <c r="AB12" s="207"/>
      <c r="AC12" s="207"/>
      <c r="AD12" s="207" t="s">
        <v>6322</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6323</v>
      </c>
      <c r="B13" s="207"/>
      <c r="C13" s="207" t="s">
        <v>6324</v>
      </c>
      <c r="D13" s="207"/>
      <c r="E13" s="207"/>
      <c r="F13" s="207" t="s">
        <v>6325</v>
      </c>
      <c r="G13" s="207"/>
      <c r="H13" s="207"/>
      <c r="I13" s="207" t="s">
        <v>5948</v>
      </c>
      <c r="J13" s="207"/>
      <c r="K13" s="207"/>
      <c r="L13" s="207"/>
      <c r="M13" s="207"/>
      <c r="N13" s="207" t="s">
        <v>5948</v>
      </c>
      <c r="O13" s="207"/>
      <c r="P13" s="207"/>
      <c r="Q13" s="207" t="s">
        <v>6324</v>
      </c>
      <c r="R13" s="207"/>
      <c r="S13" s="207"/>
      <c r="T13" s="207"/>
      <c r="U13" s="207" t="s">
        <v>6326</v>
      </c>
      <c r="V13" s="207"/>
      <c r="W13" s="207"/>
      <c r="X13" s="207"/>
      <c r="Y13" s="207" t="s">
        <v>5938</v>
      </c>
      <c r="Z13" s="207"/>
      <c r="AA13" s="207" t="s">
        <v>6327</v>
      </c>
      <c r="AB13" s="207"/>
      <c r="AC13" s="207"/>
      <c r="AD13" s="207" t="s">
        <v>6328</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5938</v>
      </c>
      <c r="B14" s="207"/>
      <c r="C14" s="207" t="s">
        <v>6329</v>
      </c>
      <c r="D14" s="207"/>
      <c r="E14" s="207"/>
      <c r="F14" s="207" t="s">
        <v>6320</v>
      </c>
      <c r="G14" s="207"/>
      <c r="H14" s="207"/>
      <c r="I14" s="207" t="s">
        <v>5948</v>
      </c>
      <c r="J14" s="207"/>
      <c r="K14" s="207"/>
      <c r="L14" s="207"/>
      <c r="M14" s="207"/>
      <c r="N14" s="207" t="s">
        <v>5948</v>
      </c>
      <c r="O14" s="207"/>
      <c r="P14" s="207"/>
      <c r="Q14" s="207" t="s">
        <v>6329</v>
      </c>
      <c r="R14" s="207"/>
      <c r="S14" s="207"/>
      <c r="T14" s="207"/>
      <c r="U14" s="207" t="s">
        <v>6330</v>
      </c>
      <c r="V14" s="207"/>
      <c r="W14" s="207"/>
      <c r="X14" s="207"/>
      <c r="Y14" s="207" t="s">
        <v>5938</v>
      </c>
      <c r="Z14" s="207"/>
      <c r="AA14" s="207" t="s">
        <v>6331</v>
      </c>
      <c r="AB14" s="207"/>
      <c r="AC14" s="207"/>
      <c r="AD14" s="207" t="s">
        <v>6332</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6333</v>
      </c>
      <c r="B15" s="207"/>
      <c r="C15" s="207" t="s">
        <v>6334</v>
      </c>
      <c r="D15" s="207"/>
      <c r="E15" s="207"/>
      <c r="F15" s="207" t="s">
        <v>6335</v>
      </c>
      <c r="G15" s="207"/>
      <c r="H15" s="207"/>
      <c r="I15" s="207" t="s">
        <v>5948</v>
      </c>
      <c r="J15" s="207"/>
      <c r="K15" s="207"/>
      <c r="L15" s="207"/>
      <c r="M15" s="207"/>
      <c r="N15" s="207" t="s">
        <v>5948</v>
      </c>
      <c r="O15" s="207"/>
      <c r="P15" s="207"/>
      <c r="Q15" s="207" t="s">
        <v>6334</v>
      </c>
      <c r="R15" s="207"/>
      <c r="S15" s="207"/>
      <c r="T15" s="207"/>
      <c r="U15" s="207" t="s">
        <v>6336</v>
      </c>
      <c r="V15" s="207"/>
      <c r="W15" s="207"/>
      <c r="X15" s="207"/>
      <c r="Y15" s="207" t="s">
        <v>6300</v>
      </c>
      <c r="Z15" s="207"/>
      <c r="AA15" s="207" t="s">
        <v>6214</v>
      </c>
      <c r="AB15" s="207"/>
      <c r="AC15" s="207"/>
      <c r="AD15" s="207" t="s">
        <v>6337</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6338</v>
      </c>
      <c r="B16" s="207"/>
      <c r="C16" s="207" t="s">
        <v>6339</v>
      </c>
      <c r="D16" s="207"/>
      <c r="E16" s="207"/>
      <c r="F16" s="207" t="s">
        <v>6340</v>
      </c>
      <c r="G16" s="207"/>
      <c r="H16" s="207"/>
      <c r="I16" s="207" t="s">
        <v>5948</v>
      </c>
      <c r="J16" s="207"/>
      <c r="K16" s="207"/>
      <c r="L16" s="207"/>
      <c r="M16" s="207"/>
      <c r="N16" s="207" t="s">
        <v>5948</v>
      </c>
      <c r="O16" s="207"/>
      <c r="P16" s="207"/>
      <c r="Q16" s="207" t="s">
        <v>6339</v>
      </c>
      <c r="R16" s="207"/>
      <c r="S16" s="207"/>
      <c r="T16" s="207"/>
      <c r="U16" s="207" t="s">
        <v>6339</v>
      </c>
      <c r="V16" s="207"/>
      <c r="W16" s="207"/>
      <c r="X16" s="207"/>
      <c r="Y16" s="207" t="s">
        <v>6338</v>
      </c>
      <c r="Z16" s="207"/>
      <c r="AA16" s="207" t="s">
        <v>6193</v>
      </c>
      <c r="AB16" s="207"/>
      <c r="AC16" s="207"/>
      <c r="AD16" s="207" t="s">
        <v>6341</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6338</v>
      </c>
      <c r="B17" s="207"/>
      <c r="C17" s="207" t="s">
        <v>6342</v>
      </c>
      <c r="D17" s="207"/>
      <c r="E17" s="207"/>
      <c r="F17" s="207" t="s">
        <v>6343</v>
      </c>
      <c r="G17" s="207"/>
      <c r="H17" s="207"/>
      <c r="I17" s="207" t="s">
        <v>5948</v>
      </c>
      <c r="J17" s="207"/>
      <c r="K17" s="207"/>
      <c r="L17" s="207"/>
      <c r="M17" s="207"/>
      <c r="N17" s="207" t="s">
        <v>5948</v>
      </c>
      <c r="O17" s="207"/>
      <c r="P17" s="207"/>
      <c r="Q17" s="207" t="s">
        <v>6342</v>
      </c>
      <c r="R17" s="207"/>
      <c r="S17" s="207"/>
      <c r="T17" s="207"/>
      <c r="U17" s="207" t="s">
        <v>6342</v>
      </c>
      <c r="V17" s="207"/>
      <c r="W17" s="207"/>
      <c r="X17" s="207"/>
      <c r="Y17" s="207" t="s">
        <v>6338</v>
      </c>
      <c r="Z17" s="207"/>
      <c r="AA17" s="207" t="s">
        <v>6344</v>
      </c>
      <c r="AB17" s="207"/>
      <c r="AC17" s="207"/>
      <c r="AD17" s="207" t="s">
        <v>6345</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6346</v>
      </c>
      <c r="B18" s="207"/>
      <c r="C18" s="207" t="s">
        <v>6347</v>
      </c>
      <c r="D18" s="207"/>
      <c r="E18" s="207"/>
      <c r="F18" s="207" t="s">
        <v>6126</v>
      </c>
      <c r="G18" s="207"/>
      <c r="H18" s="207"/>
      <c r="I18" s="207" t="s">
        <v>5948</v>
      </c>
      <c r="J18" s="207"/>
      <c r="K18" s="207"/>
      <c r="L18" s="207"/>
      <c r="M18" s="207"/>
      <c r="N18" s="207" t="s">
        <v>5948</v>
      </c>
      <c r="O18" s="207"/>
      <c r="P18" s="207"/>
      <c r="Q18" s="207" t="s">
        <v>6347</v>
      </c>
      <c r="R18" s="207"/>
      <c r="S18" s="207"/>
      <c r="T18" s="207"/>
      <c r="U18" s="207" t="s">
        <v>6348</v>
      </c>
      <c r="V18" s="207"/>
      <c r="W18" s="207"/>
      <c r="X18" s="207"/>
      <c r="Y18" s="207" t="s">
        <v>6300</v>
      </c>
      <c r="Z18" s="207"/>
      <c r="AA18" s="207" t="s">
        <v>6214</v>
      </c>
      <c r="AB18" s="207"/>
      <c r="AC18" s="207"/>
      <c r="AD18" s="207" t="s">
        <v>6349</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6350</v>
      </c>
      <c r="B19" s="207"/>
      <c r="C19" s="207" t="s">
        <v>6351</v>
      </c>
      <c r="D19" s="207"/>
      <c r="E19" s="207"/>
      <c r="F19" s="207" t="s">
        <v>6024</v>
      </c>
      <c r="G19" s="207"/>
      <c r="H19" s="207"/>
      <c r="I19" s="207" t="s">
        <v>5948</v>
      </c>
      <c r="J19" s="207"/>
      <c r="K19" s="207"/>
      <c r="L19" s="207"/>
      <c r="M19" s="207"/>
      <c r="N19" s="207" t="s">
        <v>5948</v>
      </c>
      <c r="O19" s="207"/>
      <c r="P19" s="207"/>
      <c r="Q19" s="207" t="s">
        <v>6351</v>
      </c>
      <c r="R19" s="207"/>
      <c r="S19" s="207"/>
      <c r="T19" s="207"/>
      <c r="U19" s="207" t="s">
        <v>6331</v>
      </c>
      <c r="V19" s="207"/>
      <c r="W19" s="207"/>
      <c r="X19" s="207"/>
      <c r="Y19" s="207" t="s">
        <v>5938</v>
      </c>
      <c r="Z19" s="207"/>
      <c r="AA19" s="207" t="s">
        <v>6352</v>
      </c>
      <c r="AB19" s="207"/>
      <c r="AC19" s="207"/>
      <c r="AD19" s="207" t="s">
        <v>6353</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6354</v>
      </c>
      <c r="B20" s="207"/>
      <c r="C20" s="207" t="s">
        <v>6355</v>
      </c>
      <c r="D20" s="207"/>
      <c r="E20" s="207"/>
      <c r="F20" s="207" t="s">
        <v>5999</v>
      </c>
      <c r="G20" s="207"/>
      <c r="H20" s="207"/>
      <c r="I20" s="207" t="s">
        <v>5948</v>
      </c>
      <c r="J20" s="207"/>
      <c r="K20" s="207"/>
      <c r="L20" s="207"/>
      <c r="M20" s="207"/>
      <c r="N20" s="207" t="s">
        <v>5948</v>
      </c>
      <c r="O20" s="207"/>
      <c r="P20" s="207"/>
      <c r="Q20" s="207" t="s">
        <v>6355</v>
      </c>
      <c r="R20" s="207"/>
      <c r="S20" s="207"/>
      <c r="T20" s="207"/>
      <c r="U20" s="207" t="s">
        <v>6356</v>
      </c>
      <c r="V20" s="207"/>
      <c r="W20" s="207"/>
      <c r="X20" s="207"/>
      <c r="Y20" s="207" t="s">
        <v>6338</v>
      </c>
      <c r="Z20" s="207"/>
      <c r="AA20" s="207" t="s">
        <v>6138</v>
      </c>
      <c r="AB20" s="207"/>
      <c r="AC20" s="207"/>
      <c r="AD20" s="207" t="s">
        <v>6357</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6300</v>
      </c>
      <c r="B21" s="207"/>
      <c r="C21" s="207" t="s">
        <v>5938</v>
      </c>
      <c r="D21" s="207"/>
      <c r="E21" s="207"/>
      <c r="F21" s="207" t="s">
        <v>6320</v>
      </c>
      <c r="G21" s="207"/>
      <c r="H21" s="207"/>
      <c r="I21" s="207" t="s">
        <v>5948</v>
      </c>
      <c r="J21" s="207"/>
      <c r="K21" s="207"/>
      <c r="L21" s="207"/>
      <c r="M21" s="207"/>
      <c r="N21" s="207" t="s">
        <v>5948</v>
      </c>
      <c r="O21" s="207"/>
      <c r="P21" s="207"/>
      <c r="Q21" s="207" t="s">
        <v>5938</v>
      </c>
      <c r="R21" s="207"/>
      <c r="S21" s="207"/>
      <c r="T21" s="207"/>
      <c r="U21" s="207" t="s">
        <v>6329</v>
      </c>
      <c r="V21" s="207"/>
      <c r="W21" s="207"/>
      <c r="X21" s="207"/>
      <c r="Y21" s="207" t="s">
        <v>6300</v>
      </c>
      <c r="Z21" s="207"/>
      <c r="AA21" s="207" t="s">
        <v>5938</v>
      </c>
      <c r="AB21" s="207"/>
      <c r="AC21" s="207"/>
      <c r="AD21" s="207" t="s">
        <v>6358</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6359</v>
      </c>
      <c r="B22" s="207"/>
      <c r="C22" s="207" t="s">
        <v>6360</v>
      </c>
      <c r="D22" s="207"/>
      <c r="E22" s="207"/>
      <c r="F22" s="207" t="s">
        <v>6245</v>
      </c>
      <c r="G22" s="207"/>
      <c r="H22" s="207"/>
      <c r="I22" s="207" t="s">
        <v>5948</v>
      </c>
      <c r="J22" s="207"/>
      <c r="K22" s="207"/>
      <c r="L22" s="207"/>
      <c r="M22" s="207"/>
      <c r="N22" s="207" t="s">
        <v>5948</v>
      </c>
      <c r="O22" s="207"/>
      <c r="P22" s="207"/>
      <c r="Q22" s="207" t="s">
        <v>6360</v>
      </c>
      <c r="R22" s="207"/>
      <c r="S22" s="207"/>
      <c r="T22" s="207"/>
      <c r="U22" s="207" t="s">
        <v>6361</v>
      </c>
      <c r="V22" s="207"/>
      <c r="W22" s="207"/>
      <c r="X22" s="207"/>
      <c r="Y22" s="207" t="s">
        <v>6300</v>
      </c>
      <c r="Z22" s="207"/>
      <c r="AA22" s="207" t="s">
        <v>6362</v>
      </c>
      <c r="AB22" s="207"/>
      <c r="AC22" s="207"/>
      <c r="AD22" s="207" t="s">
        <v>6363</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5938</v>
      </c>
      <c r="B23" s="207"/>
      <c r="C23" s="207" t="s">
        <v>6364</v>
      </c>
      <c r="D23" s="207"/>
      <c r="E23" s="207"/>
      <c r="F23" s="207" t="s">
        <v>6245</v>
      </c>
      <c r="G23" s="207"/>
      <c r="H23" s="207"/>
      <c r="I23" s="207" t="s">
        <v>5948</v>
      </c>
      <c r="J23" s="207"/>
      <c r="K23" s="207"/>
      <c r="L23" s="207"/>
      <c r="M23" s="207"/>
      <c r="N23" s="207" t="s">
        <v>5948</v>
      </c>
      <c r="O23" s="207"/>
      <c r="P23" s="207"/>
      <c r="Q23" s="207" t="s">
        <v>6364</v>
      </c>
      <c r="R23" s="207"/>
      <c r="S23" s="207"/>
      <c r="T23" s="207"/>
      <c r="U23" s="207" t="s">
        <v>6300</v>
      </c>
      <c r="V23" s="207"/>
      <c r="W23" s="207"/>
      <c r="X23" s="207"/>
      <c r="Y23" s="207" t="s">
        <v>5938</v>
      </c>
      <c r="Z23" s="207"/>
      <c r="AA23" s="207" t="s">
        <v>6365</v>
      </c>
      <c r="AB23" s="207"/>
      <c r="AC23" s="207"/>
      <c r="AD23" s="207" t="s">
        <v>6366</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5948</v>
      </c>
      <c r="B24" s="207"/>
      <c r="C24" s="207" t="s">
        <v>6367</v>
      </c>
      <c r="D24" s="207"/>
      <c r="E24" s="207"/>
      <c r="F24" s="207" t="s">
        <v>6245</v>
      </c>
      <c r="G24" s="207"/>
      <c r="H24" s="207"/>
      <c r="I24" s="207" t="s">
        <v>5948</v>
      </c>
      <c r="J24" s="207"/>
      <c r="K24" s="207"/>
      <c r="L24" s="207"/>
      <c r="M24" s="207"/>
      <c r="N24" s="207" t="s">
        <v>5948</v>
      </c>
      <c r="O24" s="207"/>
      <c r="P24" s="207"/>
      <c r="Q24" s="207" t="s">
        <v>6367</v>
      </c>
      <c r="R24" s="207"/>
      <c r="S24" s="207"/>
      <c r="T24" s="207"/>
      <c r="U24" s="207" t="s">
        <v>5948</v>
      </c>
      <c r="V24" s="207"/>
      <c r="W24" s="207"/>
      <c r="X24" s="207"/>
      <c r="Y24" s="207" t="s">
        <v>5948</v>
      </c>
      <c r="Z24" s="207"/>
      <c r="AA24" s="207" t="s">
        <v>5948</v>
      </c>
      <c r="AB24" s="207"/>
      <c r="AC24" s="207"/>
      <c r="AD24" s="207" t="s">
        <v>6368</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6369</v>
      </c>
      <c r="D25" s="207"/>
      <c r="E25" s="207"/>
      <c r="F25" s="207"/>
      <c r="G25" s="207"/>
      <c r="H25" s="207" t="s">
        <v>6278</v>
      </c>
      <c r="I25" s="207"/>
      <c r="J25" s="207"/>
      <c r="K25" s="207"/>
      <c r="L25" s="207" t="s">
        <v>6370</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6371</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6372</v>
      </c>
      <c r="B28" s="207"/>
      <c r="C28" s="207"/>
      <c r="D28" s="207"/>
      <c r="E28" s="207"/>
      <c r="F28" s="207" t="s">
        <v>6373</v>
      </c>
      <c r="G28" s="207"/>
      <c r="H28" s="207"/>
      <c r="I28" s="207"/>
      <c r="J28" s="207"/>
      <c r="K28" s="207"/>
      <c r="L28" s="207"/>
      <c r="M28" s="207"/>
      <c r="N28" s="207"/>
      <c r="O28" s="207"/>
      <c r="P28" s="207"/>
      <c r="Q28" s="207" t="s">
        <v>6273</v>
      </c>
      <c r="R28" s="207"/>
      <c r="S28" s="207"/>
      <c r="T28" s="207"/>
      <c r="U28" s="207" t="s">
        <v>5932</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5948</v>
      </c>
      <c r="B29" s="207"/>
      <c r="C29" s="207"/>
      <c r="D29" s="207"/>
      <c r="E29" s="207"/>
      <c r="F29" s="207" t="s">
        <v>6374</v>
      </c>
      <c r="G29" s="207"/>
      <c r="H29" s="207"/>
      <c r="I29" s="207"/>
      <c r="J29" s="207"/>
      <c r="K29" s="207"/>
      <c r="L29" s="207"/>
      <c r="M29" s="207"/>
      <c r="N29" s="207"/>
      <c r="O29" s="207"/>
      <c r="P29" s="207"/>
      <c r="Q29" s="207" t="s">
        <v>6248</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6375</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5948</v>
      </c>
      <c r="B31" s="207"/>
      <c r="C31" s="207"/>
      <c r="D31" s="207"/>
      <c r="E31" s="207"/>
      <c r="F31" s="207" t="s">
        <v>5959</v>
      </c>
      <c r="G31" s="207"/>
      <c r="H31" s="207"/>
      <c r="I31" s="207"/>
      <c r="J31" s="207"/>
      <c r="K31" s="207"/>
      <c r="L31" s="207"/>
      <c r="M31" s="207"/>
      <c r="N31" s="207"/>
      <c r="O31" s="207"/>
      <c r="P31" s="207"/>
      <c r="Q31" s="207" t="s">
        <v>5963</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6376</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5948</v>
      </c>
      <c r="B33" s="207"/>
      <c r="C33" s="207"/>
      <c r="D33" s="207"/>
      <c r="E33" s="207"/>
      <c r="F33" s="207" t="s">
        <v>5935</v>
      </c>
      <c r="G33" s="207"/>
      <c r="H33" s="207"/>
      <c r="I33" s="207"/>
      <c r="J33" s="207"/>
      <c r="K33" s="207"/>
      <c r="L33" s="207"/>
      <c r="M33" s="207"/>
      <c r="N33" s="207"/>
      <c r="O33" s="207"/>
      <c r="P33" s="207"/>
      <c r="Q33" s="207" t="s">
        <v>5940</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6377</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5948</v>
      </c>
      <c r="B35" s="207"/>
      <c r="C35" s="207"/>
      <c r="D35" s="207"/>
      <c r="E35" s="207"/>
      <c r="F35" s="207" t="s">
        <v>6054</v>
      </c>
      <c r="G35" s="207"/>
      <c r="H35" s="207"/>
      <c r="I35" s="207"/>
      <c r="J35" s="207"/>
      <c r="K35" s="207"/>
      <c r="L35" s="207"/>
      <c r="M35" s="207"/>
      <c r="N35" s="207"/>
      <c r="O35" s="207"/>
      <c r="P35" s="207"/>
      <c r="Q35" s="207" t="s">
        <v>6058</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6378</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5948</v>
      </c>
      <c r="B37" s="207"/>
      <c r="C37" s="207"/>
      <c r="D37" s="207"/>
      <c r="E37" s="207"/>
      <c r="F37" s="207" t="s">
        <v>5948</v>
      </c>
      <c r="G37" s="207"/>
      <c r="H37" s="207"/>
      <c r="I37" s="207"/>
      <c r="J37" s="207"/>
      <c r="K37" s="207"/>
      <c r="L37" s="207"/>
      <c r="M37" s="207"/>
      <c r="N37" s="207"/>
      <c r="O37" s="207"/>
      <c r="P37" s="207"/>
      <c r="Q37" s="207" t="s">
        <v>6160</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5948</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5948</v>
      </c>
      <c r="B39" s="207"/>
      <c r="C39" s="207"/>
      <c r="D39" s="207"/>
      <c r="E39" s="207"/>
      <c r="F39" s="207" t="s">
        <v>5988</v>
      </c>
      <c r="G39" s="207"/>
      <c r="H39" s="207"/>
      <c r="I39" s="207"/>
      <c r="J39" s="207"/>
      <c r="K39" s="207"/>
      <c r="L39" s="207"/>
      <c r="M39" s="207"/>
      <c r="N39" s="207"/>
      <c r="O39" s="207"/>
      <c r="P39" s="207"/>
      <c r="Q39" s="207" t="s">
        <v>5992</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6379</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5948</v>
      </c>
      <c r="B41" s="207"/>
      <c r="C41" s="207"/>
      <c r="D41" s="207"/>
      <c r="E41" s="207"/>
      <c r="F41" s="207" t="s">
        <v>6047</v>
      </c>
      <c r="G41" s="207"/>
      <c r="H41" s="207"/>
      <c r="I41" s="207"/>
      <c r="J41" s="207"/>
      <c r="K41" s="207"/>
      <c r="L41" s="207"/>
      <c r="M41" s="207"/>
      <c r="N41" s="207"/>
      <c r="O41" s="207"/>
      <c r="P41" s="207"/>
      <c r="Q41" s="207" t="s">
        <v>6051</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6380</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5948</v>
      </c>
      <c r="B43" s="207"/>
      <c r="C43" s="207"/>
      <c r="D43" s="207"/>
      <c r="E43" s="207"/>
      <c r="F43" s="207" t="s">
        <v>5965</v>
      </c>
      <c r="G43" s="207"/>
      <c r="H43" s="207"/>
      <c r="I43" s="207"/>
      <c r="J43" s="207"/>
      <c r="K43" s="207"/>
      <c r="L43" s="207"/>
      <c r="M43" s="207"/>
      <c r="N43" s="207"/>
      <c r="O43" s="207"/>
      <c r="P43" s="207"/>
      <c r="Q43" s="207" t="s">
        <v>5969</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6381</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5948</v>
      </c>
      <c r="B45" s="207"/>
      <c r="C45" s="207"/>
      <c r="D45" s="207"/>
      <c r="E45" s="207"/>
      <c r="F45" s="207" t="s">
        <v>5942</v>
      </c>
      <c r="G45" s="207"/>
      <c r="H45" s="207"/>
      <c r="I45" s="207"/>
      <c r="J45" s="207"/>
      <c r="K45" s="207"/>
      <c r="L45" s="207"/>
      <c r="M45" s="207"/>
      <c r="N45" s="207"/>
      <c r="O45" s="207"/>
      <c r="P45" s="207"/>
      <c r="Q45" s="207" t="s">
        <v>5946</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6382</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5948</v>
      </c>
      <c r="B47" s="207"/>
      <c r="C47" s="207"/>
      <c r="D47" s="207"/>
      <c r="E47" s="207"/>
      <c r="F47" s="207" t="s">
        <v>6383</v>
      </c>
      <c r="G47" s="207"/>
      <c r="H47" s="207"/>
      <c r="I47" s="207"/>
      <c r="J47" s="207"/>
      <c r="K47" s="207"/>
      <c r="L47" s="207"/>
      <c r="M47" s="207"/>
      <c r="N47" s="207"/>
      <c r="O47" s="207"/>
      <c r="P47" s="207"/>
      <c r="Q47" s="207" t="s">
        <v>6021</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6384</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5948</v>
      </c>
      <c r="B49" s="207"/>
      <c r="C49" s="207"/>
      <c r="D49" s="207"/>
      <c r="E49" s="207"/>
      <c r="F49" s="207" t="s">
        <v>5953</v>
      </c>
      <c r="G49" s="207"/>
      <c r="H49" s="207"/>
      <c r="I49" s="207"/>
      <c r="J49" s="207"/>
      <c r="K49" s="207"/>
      <c r="L49" s="207"/>
      <c r="M49" s="207"/>
      <c r="N49" s="207"/>
      <c r="O49" s="207"/>
      <c r="P49" s="207"/>
      <c r="Q49" s="207" t="s">
        <v>5957</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6385</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5948</v>
      </c>
      <c r="B51" s="207"/>
      <c r="C51" s="207"/>
      <c r="D51" s="207"/>
      <c r="E51" s="207"/>
      <c r="F51" s="207" t="s">
        <v>5948</v>
      </c>
      <c r="G51" s="207"/>
      <c r="H51" s="207"/>
      <c r="I51" s="207"/>
      <c r="J51" s="207"/>
      <c r="K51" s="207"/>
      <c r="L51" s="207"/>
      <c r="M51" s="207"/>
      <c r="N51" s="207"/>
      <c r="O51" s="207"/>
      <c r="P51" s="207"/>
      <c r="Q51" s="207" t="s">
        <v>6202</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5948</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6278</v>
      </c>
      <c r="B53" s="207"/>
      <c r="C53" s="207"/>
      <c r="D53" s="207"/>
      <c r="E53" s="207"/>
      <c r="F53" s="207" t="s">
        <v>5948</v>
      </c>
      <c r="G53" s="207"/>
      <c r="H53" s="207"/>
      <c r="I53" s="207"/>
      <c r="J53" s="207"/>
      <c r="K53" s="207"/>
      <c r="L53" s="207"/>
      <c r="M53" s="207"/>
      <c r="N53" s="207"/>
      <c r="O53" s="207"/>
      <c r="P53" s="207"/>
      <c r="Q53" s="207" t="s">
        <v>6283</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6386</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6278</v>
      </c>
      <c r="B55" s="207"/>
      <c r="C55" s="207"/>
      <c r="D55" s="207"/>
      <c r="E55" s="207"/>
      <c r="F55" s="207" t="s">
        <v>6387</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6388</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6389</v>
      </c>
      <c r="B59" s="207"/>
      <c r="C59" s="207" t="s">
        <v>6390</v>
      </c>
      <c r="D59" s="207"/>
      <c r="E59" s="207"/>
      <c r="F59" s="207" t="s">
        <v>6391</v>
      </c>
      <c r="G59" s="207"/>
      <c r="H59" s="207"/>
      <c r="I59" s="207"/>
      <c r="J59" s="207"/>
      <c r="K59" s="207"/>
      <c r="L59" s="207" t="s">
        <v>6392</v>
      </c>
      <c r="M59" s="207"/>
      <c r="N59" s="207"/>
      <c r="O59" s="207"/>
      <c r="P59" s="207"/>
      <c r="Q59" s="207"/>
      <c r="R59" s="207" t="s">
        <v>6273</v>
      </c>
      <c r="S59" s="207"/>
      <c r="T59" s="207"/>
      <c r="U59" s="207" t="s">
        <v>5932</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6393</v>
      </c>
      <c r="B60" s="207"/>
      <c r="C60" s="207"/>
      <c r="D60" s="207" t="s">
        <v>6394</v>
      </c>
      <c r="E60" s="207"/>
      <c r="F60" s="207"/>
      <c r="G60" s="207"/>
      <c r="H60" s="207"/>
      <c r="I60" s="207" t="s">
        <v>6395</v>
      </c>
      <c r="J60" s="207"/>
      <c r="K60" s="207"/>
      <c r="L60" s="207"/>
      <c r="M60" s="207"/>
      <c r="N60" s="207"/>
      <c r="O60" s="207"/>
      <c r="P60" s="207"/>
      <c r="Q60" s="207" t="s">
        <v>6396</v>
      </c>
      <c r="R60" s="207"/>
      <c r="S60" s="207"/>
      <c r="T60" s="207"/>
      <c r="U60" s="207" t="s">
        <v>6248</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6397</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6398</v>
      </c>
      <c r="B62" s="207"/>
      <c r="C62" s="207"/>
      <c r="D62" s="207" t="s">
        <v>6399</v>
      </c>
      <c r="E62" s="207"/>
      <c r="F62" s="207"/>
      <c r="G62" s="207"/>
      <c r="H62" s="207"/>
      <c r="I62" s="207" t="s">
        <v>6400</v>
      </c>
      <c r="J62" s="207"/>
      <c r="K62" s="207"/>
      <c r="L62" s="207"/>
      <c r="M62" s="207"/>
      <c r="N62" s="207"/>
      <c r="O62" s="207"/>
      <c r="P62" s="207"/>
      <c r="Q62" s="207" t="s">
        <v>6401</v>
      </c>
      <c r="R62" s="207"/>
      <c r="S62" s="207"/>
      <c r="T62" s="207"/>
      <c r="U62" s="207" t="s">
        <v>6021</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6402</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5948</v>
      </c>
      <c r="B64" s="207"/>
      <c r="C64" s="207"/>
      <c r="D64" s="207" t="s">
        <v>5948</v>
      </c>
      <c r="E64" s="207"/>
      <c r="F64" s="207"/>
      <c r="G64" s="207"/>
      <c r="H64" s="207"/>
      <c r="I64" s="207" t="s">
        <v>5948</v>
      </c>
      <c r="J64" s="207"/>
      <c r="K64" s="207"/>
      <c r="L64" s="207"/>
      <c r="M64" s="207"/>
      <c r="N64" s="207"/>
      <c r="O64" s="207"/>
      <c r="P64" s="207"/>
      <c r="Q64" s="207" t="s">
        <v>5948</v>
      </c>
      <c r="R64" s="207"/>
      <c r="S64" s="207"/>
      <c r="T64" s="207"/>
      <c r="U64" s="207" t="s">
        <v>6051</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5948</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6403</v>
      </c>
      <c r="B66" s="207"/>
      <c r="C66" s="207"/>
      <c r="D66" s="207" t="s">
        <v>6404</v>
      </c>
      <c r="E66" s="207"/>
      <c r="F66" s="207"/>
      <c r="G66" s="207"/>
      <c r="H66" s="207"/>
      <c r="I66" s="207"/>
      <c r="J66" s="207"/>
      <c r="K66" s="207" t="s">
        <v>6405</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6406</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6407</v>
      </c>
      <c r="E70" s="207"/>
      <c r="F70" s="207"/>
      <c r="G70" s="207"/>
      <c r="H70" s="207"/>
      <c r="I70" s="207" t="s">
        <v>6408</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5929</v>
      </c>
      <c r="M71" s="207"/>
      <c r="N71" s="207"/>
      <c r="O71" s="207"/>
      <c r="P71" s="207" t="s">
        <v>6409</v>
      </c>
      <c r="Q71" s="207" t="s">
        <v>6410</v>
      </c>
      <c r="R71" s="207"/>
      <c r="S71" s="207" t="s">
        <v>6411</v>
      </c>
      <c r="T71" s="207"/>
      <c r="U71" s="207" t="s">
        <v>6412</v>
      </c>
      <c r="V71" s="207"/>
      <c r="W71" s="207"/>
      <c r="X71" s="207" t="s">
        <v>6413</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5932</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6414</v>
      </c>
      <c r="B74" s="207" t="s">
        <v>6415</v>
      </c>
      <c r="C74" s="207" t="s">
        <v>6416</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5948</v>
      </c>
      <c r="C77" s="207" t="s">
        <v>6417</v>
      </c>
      <c r="D77" s="207"/>
      <c r="E77" s="207"/>
      <c r="F77" s="207" t="s">
        <v>6418</v>
      </c>
      <c r="G77" s="207"/>
      <c r="H77" s="207"/>
      <c r="I77" s="207"/>
      <c r="J77" s="207" t="s">
        <v>6419</v>
      </c>
      <c r="K77" s="207"/>
      <c r="L77" s="207"/>
      <c r="M77" s="207"/>
      <c r="N77" s="207"/>
      <c r="O77" s="207" t="s">
        <v>6256</v>
      </c>
      <c r="P77" s="207"/>
      <c r="Q77" s="207" t="s">
        <v>5938</v>
      </c>
      <c r="R77" s="207"/>
      <c r="S77" s="207" t="s">
        <v>6117</v>
      </c>
      <c r="T77" s="207"/>
      <c r="U77" s="207" t="s">
        <v>6116</v>
      </c>
      <c r="V77" s="207"/>
      <c r="W77" s="207"/>
      <c r="X77" s="207" t="s">
        <v>6420</v>
      </c>
      <c r="Y77" s="207"/>
      <c r="Z77" s="207" t="s">
        <v>6421</v>
      </c>
      <c r="AA77" s="207"/>
      <c r="AB77" s="207"/>
      <c r="AC77" s="207" t="s">
        <v>6118</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5948</v>
      </c>
      <c r="C81" s="207" t="s">
        <v>6422</v>
      </c>
      <c r="D81" s="207"/>
      <c r="E81" s="207"/>
      <c r="F81" s="207" t="s">
        <v>6423</v>
      </c>
      <c r="G81" s="207"/>
      <c r="H81" s="207"/>
      <c r="I81" s="207"/>
      <c r="J81" s="207" t="s">
        <v>6424</v>
      </c>
      <c r="K81" s="207"/>
      <c r="L81" s="207"/>
      <c r="M81" s="207"/>
      <c r="N81" s="207"/>
      <c r="O81" s="207" t="s">
        <v>6425</v>
      </c>
      <c r="P81" s="207"/>
      <c r="Q81" s="207" t="s">
        <v>5938</v>
      </c>
      <c r="R81" s="207"/>
      <c r="S81" s="207" t="s">
        <v>6071</v>
      </c>
      <c r="T81" s="207"/>
      <c r="U81" s="207" t="s">
        <v>6070</v>
      </c>
      <c r="V81" s="207"/>
      <c r="W81" s="207"/>
      <c r="X81" s="207" t="s">
        <v>6426</v>
      </c>
      <c r="Y81" s="207"/>
      <c r="Z81" s="207" t="s">
        <v>6421</v>
      </c>
      <c r="AA81" s="207"/>
      <c r="AB81" s="207"/>
      <c r="AC81" s="207" t="s">
        <v>6072</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5948</v>
      </c>
      <c r="C84" s="207" t="s">
        <v>6427</v>
      </c>
      <c r="D84" s="207"/>
      <c r="E84" s="207"/>
      <c r="F84" s="207" t="s">
        <v>6428</v>
      </c>
      <c r="G84" s="207"/>
      <c r="H84" s="207"/>
      <c r="I84" s="207"/>
      <c r="J84" s="207" t="s">
        <v>6429</v>
      </c>
      <c r="K84" s="207"/>
      <c r="L84" s="207"/>
      <c r="M84" s="207"/>
      <c r="N84" s="207"/>
      <c r="O84" s="207" t="s">
        <v>6256</v>
      </c>
      <c r="P84" s="207"/>
      <c r="Q84" s="207" t="s">
        <v>5938</v>
      </c>
      <c r="R84" s="207"/>
      <c r="S84" s="207" t="s">
        <v>5939</v>
      </c>
      <c r="T84" s="207"/>
      <c r="U84" s="207" t="s">
        <v>6430</v>
      </c>
      <c r="V84" s="207"/>
      <c r="W84" s="207"/>
      <c r="X84" s="207" t="s">
        <v>6431</v>
      </c>
      <c r="Y84" s="207"/>
      <c r="Z84" s="207" t="s">
        <v>6421</v>
      </c>
      <c r="AA84" s="207"/>
      <c r="AB84" s="207"/>
      <c r="AC84" s="207" t="s">
        <v>5940</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5948</v>
      </c>
      <c r="C87" s="207" t="s">
        <v>6432</v>
      </c>
      <c r="D87" s="207"/>
      <c r="E87" s="207"/>
      <c r="F87" s="207" t="s">
        <v>6433</v>
      </c>
      <c r="G87" s="207"/>
      <c r="H87" s="207"/>
      <c r="I87" s="207"/>
      <c r="J87" s="207" t="s">
        <v>6434</v>
      </c>
      <c r="K87" s="207"/>
      <c r="L87" s="207"/>
      <c r="M87" s="207"/>
      <c r="N87" s="207"/>
      <c r="O87" s="207" t="s">
        <v>6435</v>
      </c>
      <c r="P87" s="207"/>
      <c r="Q87" s="207" t="s">
        <v>5938</v>
      </c>
      <c r="R87" s="207"/>
      <c r="S87" s="207" t="s">
        <v>6288</v>
      </c>
      <c r="T87" s="207"/>
      <c r="U87" s="207" t="s">
        <v>6287</v>
      </c>
      <c r="V87" s="207"/>
      <c r="W87" s="207"/>
      <c r="X87" s="207" t="s">
        <v>6420</v>
      </c>
      <c r="Y87" s="207"/>
      <c r="Z87" s="207" t="s">
        <v>6421</v>
      </c>
      <c r="AA87" s="207"/>
      <c r="AB87" s="207"/>
      <c r="AC87" s="207" t="s">
        <v>6289</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5948</v>
      </c>
      <c r="C90" s="207" t="s">
        <v>6436</v>
      </c>
      <c r="D90" s="207"/>
      <c r="E90" s="207"/>
      <c r="F90" s="207" t="s">
        <v>6437</v>
      </c>
      <c r="G90" s="207"/>
      <c r="H90" s="207"/>
      <c r="I90" s="207"/>
      <c r="J90" s="207" t="s">
        <v>6438</v>
      </c>
      <c r="K90" s="207"/>
      <c r="L90" s="207"/>
      <c r="M90" s="207"/>
      <c r="N90" s="207"/>
      <c r="O90" s="207" t="s">
        <v>6439</v>
      </c>
      <c r="P90" s="207"/>
      <c r="Q90" s="207" t="s">
        <v>5948</v>
      </c>
      <c r="R90" s="207"/>
      <c r="S90" s="207" t="s">
        <v>6440</v>
      </c>
      <c r="T90" s="207"/>
      <c r="U90" s="207" t="s">
        <v>6441</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6442</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6443</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6444</v>
      </c>
      <c r="R98" s="207"/>
      <c r="S98" s="207"/>
      <c r="T98" s="207"/>
      <c r="U98" s="207" t="s">
        <v>6445</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6416</v>
      </c>
      <c r="S101" s="207"/>
      <c r="T101" s="207"/>
      <c r="U101" s="207" t="s">
        <v>6446</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6416</v>
      </c>
      <c r="R106" s="207"/>
      <c r="S106" s="207"/>
      <c r="T106" s="207"/>
      <c r="U106" s="207" t="s">
        <v>6447</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21600</v>
      </c>
      <c r="H3" s="115">
        <f>C3*G3</f>
        <v>18878400</v>
      </c>
    </row>
    <row r="4" spans="1:8">
      <c r="A4" s="97"/>
      <c r="B4" s="97" t="s">
        <v>4219</v>
      </c>
      <c r="C4" s="97">
        <v>295000</v>
      </c>
      <c r="D4" s="115">
        <v>148594302</v>
      </c>
      <c r="E4" s="115">
        <f>D4/C4</f>
        <v>503.70949830508476</v>
      </c>
      <c r="F4" s="115">
        <f>E4*1.01</f>
        <v>508.74659328813561</v>
      </c>
      <c r="G4" s="97">
        <f>'برنامه 5 ساله'!P31</f>
        <v>1108</v>
      </c>
      <c r="H4" s="115">
        <f>C4*G4</f>
        <v>326860000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354102661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21600</v>
      </c>
      <c r="H17" s="115">
        <f>C17*G17</f>
        <v>92426400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1108</v>
      </c>
      <c r="H19" s="115">
        <f>C19*G19</f>
        <v>14333088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294317616</v>
      </c>
    </row>
    <row r="26" spans="1:8">
      <c r="D26" t="s">
        <v>5403</v>
      </c>
      <c r="E26" s="112">
        <f>'خرید خانه'!H10+'خرید خانه'!H23-'خرید خانه'!D10-'خرید خانه'!D23</f>
        <v>346720277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2021-06-22T10:19:54Z</dcterms:modified>
</cp:coreProperties>
</file>