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DCC7F9C1-F610-4666-98FD-6FBF62E133D2}"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2" i="63" l="1"/>
  <c r="P42" i="63"/>
  <c r="D34" i="63"/>
  <c r="D33" i="63"/>
  <c r="D35" i="63"/>
  <c r="H35" i="63" s="1"/>
  <c r="M35" i="63" s="1"/>
  <c r="H36" i="63"/>
  <c r="H37" i="63"/>
  <c r="H38" i="63"/>
  <c r="H39" i="63"/>
  <c r="H40" i="63"/>
  <c r="D23" i="63"/>
  <c r="I35" i="63" l="1"/>
  <c r="J35" i="63" s="1"/>
  <c r="K35" i="63" s="1"/>
  <c r="L35"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3" i="63"/>
  <c r="D40" i="63"/>
  <c r="D45" i="63"/>
  <c r="H45" i="63" s="1"/>
  <c r="M45" i="63" s="1"/>
  <c r="D49" i="63"/>
  <c r="H49" i="63" s="1"/>
  <c r="M49" i="63" s="1"/>
  <c r="D53" i="63"/>
  <c r="D32" i="63"/>
  <c r="D52" i="63"/>
  <c r="D51" i="63"/>
  <c r="D50" i="63"/>
  <c r="D48" i="63"/>
  <c r="D47" i="63"/>
  <c r="D46" i="63"/>
  <c r="D44" i="63"/>
  <c r="D43" i="63"/>
  <c r="D42" i="63"/>
  <c r="D41" i="63"/>
  <c r="D39" i="63"/>
  <c r="D38" i="63"/>
  <c r="D37" i="63"/>
  <c r="D36" i="63"/>
  <c r="D31" i="63"/>
  <c r="D30" i="63"/>
  <c r="D29" i="63"/>
  <c r="D28" i="63"/>
  <c r="D27" i="63"/>
  <c r="D26" i="63"/>
  <c r="D25" i="63"/>
  <c r="D24" i="63"/>
  <c r="D22" i="63"/>
  <c r="H53" i="63"/>
  <c r="M53" i="63" s="1"/>
  <c r="M40" i="63"/>
  <c r="H34" i="63"/>
  <c r="H32" i="63"/>
  <c r="M32" i="63" s="1"/>
  <c r="M33" i="63" l="1"/>
  <c r="I33" i="63"/>
  <c r="J33" i="63" s="1"/>
  <c r="K33" i="63" s="1"/>
  <c r="P22" i="63"/>
  <c r="M34" i="63"/>
  <c r="Q22" i="63"/>
  <c r="J18" i="63"/>
  <c r="K18" i="63" s="1"/>
  <c r="E7" i="80"/>
  <c r="E8" i="80" s="1"/>
  <c r="I53" i="63"/>
  <c r="J53" i="63" s="1"/>
  <c r="K53" i="63" s="1"/>
  <c r="L53" i="63" s="1"/>
  <c r="I49" i="63"/>
  <c r="J49" i="63" s="1"/>
  <c r="K49" i="63" s="1"/>
  <c r="L49" i="63" s="1"/>
  <c r="I45" i="63"/>
  <c r="J45" i="63" s="1"/>
  <c r="K45" i="63" s="1"/>
  <c r="L45" i="63" s="1"/>
  <c r="I40" i="63"/>
  <c r="J40" i="63" s="1"/>
  <c r="K40" i="63" s="1"/>
  <c r="L40" i="63" s="1"/>
  <c r="I34" i="63"/>
  <c r="J34" i="63" s="1"/>
  <c r="K34" i="63" s="1"/>
  <c r="L34" i="63" s="1"/>
  <c r="I32" i="63"/>
  <c r="J32" i="63" s="1"/>
  <c r="K32" i="63" s="1"/>
  <c r="L32" i="63" s="1"/>
  <c r="D21" i="63"/>
  <c r="P23" i="63" l="1"/>
  <c r="P26" i="63" s="1"/>
  <c r="L33" i="63"/>
  <c r="H52" i="63"/>
  <c r="I52" i="63" s="1"/>
  <c r="H48" i="63"/>
  <c r="M48" i="63" s="1"/>
  <c r="H44" i="63"/>
  <c r="I44" i="63" s="1"/>
  <c r="H31" i="63"/>
  <c r="M31" i="63" s="1"/>
  <c r="P34" i="63"/>
  <c r="J52" i="63" l="1"/>
  <c r="K52" i="63" s="1"/>
  <c r="L52" i="63" s="1"/>
  <c r="J44" i="63"/>
  <c r="K44" i="63" s="1"/>
  <c r="L44" i="63" s="1"/>
  <c r="M39" i="63"/>
  <c r="I39" i="63"/>
  <c r="J39" i="63" s="1"/>
  <c r="K39" i="63" s="1"/>
  <c r="L39" i="63" s="1"/>
  <c r="M52" i="63"/>
  <c r="I48" i="63"/>
  <c r="M44" i="63"/>
  <c r="I31" i="63"/>
  <c r="J31" i="63" s="1"/>
  <c r="K31" i="63" s="1"/>
  <c r="L31" i="63" s="1"/>
  <c r="H30" i="63"/>
  <c r="M30" i="63" s="1"/>
  <c r="Q43" i="63"/>
  <c r="J48" i="63" l="1"/>
  <c r="K48" i="63" s="1"/>
  <c r="L48" i="63" s="1"/>
  <c r="I30" i="63"/>
  <c r="J30" i="63" s="1"/>
  <c r="K30" i="63" s="1"/>
  <c r="L30" i="63" s="1"/>
  <c r="H29" i="63"/>
  <c r="M29" i="63" s="1"/>
  <c r="M38" i="63"/>
  <c r="H41" i="63"/>
  <c r="M41" i="63" s="1"/>
  <c r="H42" i="63"/>
  <c r="M42" i="63" s="1"/>
  <c r="H43" i="63"/>
  <c r="I43" i="63" s="1"/>
  <c r="J43" i="63" s="1"/>
  <c r="K43" i="63" s="1"/>
  <c r="L43" i="63" s="1"/>
  <c r="H46" i="63"/>
  <c r="M46" i="63" s="1"/>
  <c r="H47" i="63"/>
  <c r="M47" i="63" s="1"/>
  <c r="H51" i="63"/>
  <c r="M51" i="63" s="1"/>
  <c r="H38" i="18"/>
  <c r="I2" i="63"/>
  <c r="M43" i="63" l="1"/>
  <c r="I29" i="63"/>
  <c r="J29" i="63" s="1"/>
  <c r="K29" i="63" s="1"/>
  <c r="L29" i="63" s="1"/>
  <c r="I38" i="63"/>
  <c r="J38" i="63" s="1"/>
  <c r="K38" i="63" s="1"/>
  <c r="L38" i="63" s="1"/>
  <c r="I51" i="63"/>
  <c r="J51" i="63" s="1"/>
  <c r="K51" i="63" s="1"/>
  <c r="L51" i="63" s="1"/>
  <c r="I1" i="63"/>
  <c r="F38" i="18"/>
  <c r="H28" i="63" l="1"/>
  <c r="M28" i="63" s="1"/>
  <c r="I28" i="63" l="1"/>
  <c r="J28" i="63" s="1"/>
  <c r="K28" i="63" s="1"/>
  <c r="L28" i="63" s="1"/>
  <c r="H50" i="63"/>
  <c r="M50" i="63" s="1"/>
  <c r="M37" i="63"/>
  <c r="H17" i="63"/>
  <c r="I17" i="63"/>
  <c r="G17" i="63"/>
  <c r="I50" i="63" l="1"/>
  <c r="J50" i="63" s="1"/>
  <c r="K50" i="63" s="1"/>
  <c r="L50" i="63" s="1"/>
  <c r="I37" i="63"/>
  <c r="J37" i="63" s="1"/>
  <c r="K37" i="63" s="1"/>
  <c r="L37" i="63" s="1"/>
  <c r="I47" i="63"/>
  <c r="J47" i="63" s="1"/>
  <c r="K47" i="63" s="1"/>
  <c r="L47" i="63" s="1"/>
  <c r="I42" i="63"/>
  <c r="J42" i="63" s="1"/>
  <c r="K42" i="63" s="1"/>
  <c r="L42" i="63" s="1"/>
  <c r="J17" i="63"/>
  <c r="K17" i="63" s="1"/>
  <c r="M36" i="63"/>
  <c r="H27" i="63"/>
  <c r="M27" i="63" s="1"/>
  <c r="H22" i="63"/>
  <c r="M22" i="63" s="1"/>
  <c r="I41" i="63" l="1"/>
  <c r="J41" i="63" s="1"/>
  <c r="K41" i="63" s="1"/>
  <c r="L41" i="63" s="1"/>
  <c r="I36" i="63"/>
  <c r="J36" i="63" s="1"/>
  <c r="K36" i="63" s="1"/>
  <c r="L36" i="63" s="1"/>
  <c r="I46" i="63"/>
  <c r="J46" i="63" s="1"/>
  <c r="K46" i="63" s="1"/>
  <c r="L46"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8" i="18" l="1"/>
  <c r="M3" i="60" l="1"/>
  <c r="M4" i="60"/>
  <c r="M5" i="60"/>
  <c r="M6" i="60"/>
  <c r="M7" i="60"/>
  <c r="M8" i="60"/>
  <c r="M2" i="60"/>
  <c r="H13" i="18" l="1"/>
  <c r="G15" i="63"/>
  <c r="H15" i="63"/>
  <c r="G14" i="63" l="1"/>
  <c r="H14" i="63"/>
  <c r="F25" i="18"/>
  <c r="B128" i="18"/>
  <c r="G13" i="63"/>
  <c r="H13" i="63"/>
  <c r="G12" i="63"/>
  <c r="H12" i="63"/>
  <c r="G11" i="63"/>
  <c r="H11" i="63"/>
  <c r="B126" i="18"/>
  <c r="H10" i="63" l="1"/>
  <c r="G10" i="63"/>
  <c r="D6" i="18"/>
  <c r="J65" i="63"/>
  <c r="K65" i="63" s="1"/>
  <c r="L65" i="63" s="1"/>
  <c r="M65" i="63" s="1"/>
  <c r="H2" i="63"/>
  <c r="G2" i="63"/>
  <c r="H9" i="63"/>
  <c r="G9" i="63"/>
  <c r="N66" i="63" l="1"/>
  <c r="O66" i="63" s="1"/>
  <c r="J2" i="63"/>
  <c r="K2" i="63" s="1"/>
  <c r="H8" i="63"/>
  <c r="G8" i="63"/>
  <c r="H7" i="63"/>
  <c r="G7" i="63"/>
  <c r="H1" i="63"/>
  <c r="G1" i="63"/>
  <c r="P66" i="63" l="1"/>
  <c r="Q66" i="63"/>
  <c r="S66" i="63" s="1"/>
  <c r="J1" i="63"/>
  <c r="K1" i="63" s="1"/>
  <c r="J64" i="63"/>
  <c r="K64" i="63" s="1"/>
  <c r="L64" i="63" s="1"/>
  <c r="M64" i="63" s="1"/>
  <c r="N65" i="63" l="1"/>
  <c r="O65" i="63" s="1"/>
  <c r="R504" i="18"/>
  <c r="Q65" i="63" l="1"/>
  <c r="S65" i="63" s="1"/>
  <c r="P65" i="63"/>
  <c r="R503" i="18"/>
  <c r="P3" i="63" l="1"/>
  <c r="O33" i="63" l="1"/>
  <c r="I15" i="63" s="1"/>
  <c r="J15" i="63" s="1"/>
  <c r="K15" i="63" s="1"/>
  <c r="F33" i="18"/>
  <c r="I56" i="63"/>
  <c r="H56" i="63"/>
  <c r="G56"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6" i="63"/>
  <c r="K56" i="63" s="1"/>
  <c r="C129" i="18"/>
  <c r="D26" i="18"/>
  <c r="B26" i="18" s="1"/>
  <c r="B24" i="18"/>
  <c r="J66" i="63" l="1"/>
  <c r="K66" i="63" s="1"/>
  <c r="L66" i="63" s="1"/>
  <c r="M66" i="63" s="1"/>
  <c r="T23" i="63"/>
  <c r="N67" i="63" l="1"/>
  <c r="O67" i="63" s="1"/>
  <c r="Q67" i="63" l="1"/>
  <c r="S67" i="63" s="1"/>
  <c r="P67"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67" i="63"/>
  <c r="K67" i="63" s="1"/>
  <c r="L67" i="63" s="1"/>
  <c r="M67" i="63" l="1"/>
  <c r="N68" i="63" s="1"/>
  <c r="O68" i="63" s="1"/>
  <c r="B36" i="80"/>
  <c r="P68" i="63" l="1"/>
  <c r="Q68" i="63"/>
  <c r="S68"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8" i="63"/>
  <c r="K68" i="63" s="1"/>
  <c r="L68" i="63" s="1"/>
  <c r="M68"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9" i="63"/>
  <c r="O69"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9" i="63"/>
  <c r="Q69" i="63"/>
  <c r="S69" i="63" s="1"/>
  <c r="R499" i="18"/>
  <c r="C131" i="18" l="1"/>
  <c r="B127" i="18"/>
  <c r="B125" i="18"/>
  <c r="S20" i="63"/>
  <c r="R498" i="18" l="1"/>
  <c r="R497" i="18"/>
  <c r="R496" i="18" l="1"/>
  <c r="T25" i="63"/>
  <c r="T26" i="63"/>
  <c r="E29" i="80" l="1"/>
  <c r="E28" i="80"/>
  <c r="S72"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99" i="63" l="1"/>
  <c r="H99" i="63"/>
  <c r="I99" i="63"/>
  <c r="G100" i="63"/>
  <c r="H100" i="63"/>
  <c r="I100" i="63"/>
  <c r="H98" i="63"/>
  <c r="I98" i="63"/>
  <c r="G98" i="63"/>
  <c r="I97" i="63"/>
  <c r="G97" i="63"/>
  <c r="H97" i="63"/>
  <c r="J98" i="63" l="1"/>
  <c r="K98" i="63" s="1"/>
  <c r="J97" i="63"/>
  <c r="K97" i="63" s="1"/>
  <c r="J100" i="63"/>
  <c r="K100" i="63" s="1"/>
  <c r="J99" i="63"/>
  <c r="K99" i="63" s="1"/>
  <c r="R467" i="18"/>
  <c r="R461" i="18"/>
  <c r="K9" i="18"/>
  <c r="K10" i="18" s="1"/>
  <c r="H10" i="18"/>
  <c r="H9" i="18"/>
  <c r="R455" i="18"/>
  <c r="R454" i="18"/>
  <c r="R469" i="18" l="1"/>
  <c r="R468" i="18" l="1"/>
  <c r="I94" i="63"/>
  <c r="G94" i="63"/>
  <c r="H94" i="63"/>
  <c r="J94" i="63" l="1"/>
  <c r="K94" i="63" s="1"/>
  <c r="I96" i="63"/>
  <c r="G96" i="63" l="1"/>
  <c r="H96" i="63"/>
  <c r="J96" i="63" s="1"/>
  <c r="K96" i="63" s="1"/>
  <c r="I95" i="63"/>
  <c r="G95" i="63"/>
  <c r="H95" i="63"/>
  <c r="G91" i="63"/>
  <c r="H91" i="63"/>
  <c r="I91" i="63"/>
  <c r="I93" i="63"/>
  <c r="H93" i="63"/>
  <c r="G93" i="63"/>
  <c r="I90" i="63"/>
  <c r="J91" i="63" l="1"/>
  <c r="K91" i="63" s="1"/>
  <c r="J95" i="63"/>
  <c r="K95" i="63" s="1"/>
  <c r="J93" i="63"/>
  <c r="K93" i="63" s="1"/>
  <c r="G90" i="63" l="1"/>
  <c r="H90" i="63"/>
  <c r="J90" i="63" s="1"/>
  <c r="K90" i="63" s="1"/>
  <c r="I88" i="63"/>
  <c r="H88" i="63"/>
  <c r="G88" i="63"/>
  <c r="I85" i="63"/>
  <c r="H85" i="63"/>
  <c r="G85" i="63"/>
  <c r="I86" i="63"/>
  <c r="I89" i="63"/>
  <c r="I92" i="63"/>
  <c r="H86" i="63"/>
  <c r="H89" i="63"/>
  <c r="G86" i="63"/>
  <c r="G89" i="63"/>
  <c r="G92" i="63"/>
  <c r="H92" i="63"/>
  <c r="I87" i="63"/>
  <c r="I80" i="63"/>
  <c r="I101" i="63"/>
  <c r="G101" i="63"/>
  <c r="I84" i="63"/>
  <c r="G84" i="63"/>
  <c r="H84" i="63"/>
  <c r="J85" i="63" l="1"/>
  <c r="K85" i="63" s="1"/>
  <c r="J86" i="63"/>
  <c r="K86" i="63" s="1"/>
  <c r="J88" i="63"/>
  <c r="K88" i="63" s="1"/>
  <c r="J92" i="63"/>
  <c r="K92" i="63" s="1"/>
  <c r="J89" i="63"/>
  <c r="K89" i="63" s="1"/>
  <c r="J84" i="63"/>
  <c r="K84" i="63" s="1"/>
  <c r="I83" i="63"/>
  <c r="R466" i="18"/>
  <c r="G82" i="63" l="1"/>
  <c r="H82" i="63"/>
  <c r="I82" i="63"/>
  <c r="G83" i="63"/>
  <c r="H83" i="63"/>
  <c r="G87" i="63"/>
  <c r="H87" i="63"/>
  <c r="H101" i="63"/>
  <c r="I81" i="63"/>
  <c r="H81" i="63"/>
  <c r="G81" i="63"/>
  <c r="H80" i="63"/>
  <c r="G80" i="63"/>
  <c r="J101" i="63" l="1"/>
  <c r="K101" i="63" s="1"/>
  <c r="J82" i="63"/>
  <c r="K82" i="63" s="1"/>
  <c r="J80" i="63"/>
  <c r="K80" i="63" s="1"/>
  <c r="J87" i="63"/>
  <c r="K87" i="63" s="1"/>
  <c r="J81" i="63"/>
  <c r="K81" i="63" s="1"/>
  <c r="J83" i="63"/>
  <c r="K8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04" i="63" l="1"/>
  <c r="H104" i="63"/>
  <c r="I104" i="63"/>
  <c r="G107" i="63"/>
  <c r="H107" i="63"/>
  <c r="I107" i="63"/>
  <c r="J107" i="63" l="1"/>
  <c r="K107" i="63" s="1"/>
  <c r="J104" i="63"/>
  <c r="K104" i="63" s="1"/>
  <c r="R458" i="18"/>
  <c r="R457" i="18" l="1"/>
  <c r="I4" i="60" l="1"/>
  <c r="I3" i="60"/>
  <c r="B6" i="18" l="1"/>
  <c r="I18" i="60"/>
  <c r="G77" i="63" l="1"/>
  <c r="I77" i="63"/>
  <c r="H77" i="63"/>
  <c r="J77" i="63" l="1"/>
  <c r="K7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32" i="63"/>
  <c r="I133" i="63"/>
  <c r="G133" i="63"/>
  <c r="H133" i="63"/>
  <c r="G132" i="63"/>
  <c r="H132" i="63"/>
  <c r="J133" i="63" l="1"/>
  <c r="K133" i="63" s="1"/>
  <c r="J132" i="63"/>
  <c r="K13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1" i="63"/>
  <c r="H131" i="63"/>
  <c r="I129" i="63"/>
  <c r="I130" i="63"/>
  <c r="I131" i="63"/>
  <c r="I135" i="63"/>
  <c r="J135" i="63" s="1"/>
  <c r="K135" i="63" s="1"/>
  <c r="G130" i="63"/>
  <c r="H130" i="63"/>
  <c r="D5" i="18"/>
  <c r="J131" i="63" l="1"/>
  <c r="K131" i="63" s="1"/>
  <c r="J130" i="63"/>
  <c r="K130" i="63" s="1"/>
  <c r="I128" i="63"/>
  <c r="G129" i="63"/>
  <c r="H129" i="63"/>
  <c r="I126" i="63"/>
  <c r="I127" i="63"/>
  <c r="G128" i="63"/>
  <c r="H128" i="63"/>
  <c r="J129" i="63" l="1"/>
  <c r="K129" i="63" s="1"/>
  <c r="J128" i="63"/>
  <c r="K128" i="63" s="1"/>
  <c r="R435" i="18" l="1"/>
  <c r="H126" i="63"/>
  <c r="H127" i="63"/>
  <c r="G127" i="63"/>
  <c r="J127" i="63" l="1"/>
  <c r="K127" i="63" s="1"/>
  <c r="J126" i="63"/>
  <c r="K12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9" i="63" l="1"/>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J119" i="63" l="1"/>
  <c r="K119" i="63" s="1"/>
  <c r="J118" i="63"/>
  <c r="K118" i="63" s="1"/>
  <c r="J113" i="63"/>
  <c r="K113" i="63" s="1"/>
  <c r="J112" i="63"/>
  <c r="K112" i="63" s="1"/>
  <c r="J109" i="63"/>
  <c r="K109" i="63" s="1"/>
  <c r="J121" i="63"/>
  <c r="K121" i="63" s="1"/>
  <c r="J120" i="63"/>
  <c r="K120" i="63" s="1"/>
  <c r="J115" i="63"/>
  <c r="K115" i="63" s="1"/>
  <c r="J114" i="63"/>
  <c r="K114" i="63" s="1"/>
  <c r="J122" i="63"/>
  <c r="K122" i="63" s="1"/>
  <c r="J117" i="63"/>
  <c r="K117" i="63" s="1"/>
  <c r="J116" i="63"/>
  <c r="K116" i="63" s="1"/>
  <c r="J111" i="63"/>
  <c r="K111" i="63" s="1"/>
  <c r="J123" i="63"/>
  <c r="K123" i="63" s="1"/>
  <c r="J125" i="63"/>
  <c r="K125" i="63" s="1"/>
  <c r="J124" i="63"/>
  <c r="K124" i="63" s="1"/>
  <c r="J110" i="63"/>
  <c r="K110" i="63" s="1"/>
  <c r="G108" i="63"/>
  <c r="H108" i="63"/>
  <c r="I108" i="63"/>
  <c r="J108" i="63" l="1"/>
  <c r="K10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8" i="63"/>
  <c r="R373" i="18"/>
  <c r="D101" i="72" l="1"/>
  <c r="E102" i="72"/>
  <c r="R372" i="18"/>
  <c r="D100" i="72" l="1"/>
  <c r="E101" i="72"/>
  <c r="E100" i="72" l="1"/>
  <c r="D99" i="72"/>
  <c r="E99" i="72" l="1"/>
  <c r="D98" i="72"/>
  <c r="E98" i="72" l="1"/>
  <c r="D97" i="72"/>
  <c r="D157" i="63"/>
  <c r="E157" i="63"/>
  <c r="G157" i="63" s="1"/>
  <c r="D158" i="63"/>
  <c r="G158" i="63"/>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D176" i="63"/>
  <c r="E176" i="63"/>
  <c r="D177" i="63"/>
  <c r="E177" i="63"/>
  <c r="D178" i="63"/>
  <c r="E178" i="63"/>
  <c r="E156" i="63"/>
  <c r="G156" i="63" s="1"/>
  <c r="D15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<sst xmlns="http://schemas.openxmlformats.org/spreadsheetml/2006/main" count="17127" uniqueCount="7071">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</sst>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7">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20464885760</c:v>
                </c:pt>
                <c:pt idx="1">
                  <c:v>0</c:v>
                </c:pt>
                <c:pt idx="2">
                  <c:v>209929464</c:v>
                </c:pt>
                <c:pt idx="3">
                  <c:v>107931636</c:v>
                </c:pt>
                <c:pt idx="4">
                  <c:v>473385000</c:v>
                </c:pt>
                <c:pt idx="5">
                  <c:v>515889000</c:v>
                </c:pt>
                <c:pt idx="6">
                  <c:v>0</c:v>
                </c:pt>
                <c:pt idx="7">
                  <c:v>6670433714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9" sqref="C1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t="e">
        <f>B1*100/$C$35</f>
        <v>#REF!</v>
      </c>
      <c r="F1" s="11"/>
      <c r="G1" s="279" t="s">
        <v>4406</v>
      </c>
      <c r="H1" s="1">
        <f>SUM(B20:B32)</f>
        <v>14448492619.11628</v>
      </c>
      <c r="J1" s="207" t="s">
        <v>4315</v>
      </c>
      <c r="K1" s="207" t="s">
        <v>4326</v>
      </c>
      <c r="L1" s="207" t="s">
        <v>4327</v>
      </c>
      <c r="M1" s="355" t="s">
        <v>25</v>
      </c>
      <c r="N1" s="355" t="s">
        <v>25</v>
      </c>
      <c r="V1" t="s">
        <v>25</v>
      </c>
      <c r="Z1" t="s">
        <v>25</v>
      </c>
      <c r="AA1" t="s">
        <v>25</v>
      </c>
    </row>
    <row r="2" spans="1:27">
      <c r="A2" s="362" t="s">
        <v>6663</v>
      </c>
      <c r="B2" s="365">
        <f>C2*D2</f>
        <v>618590560</v>
      </c>
      <c r="C2" s="372">
        <v>291788</v>
      </c>
      <c r="D2" s="362">
        <f>D20</f>
        <v>2120</v>
      </c>
      <c r="E2" s="362" t="e">
        <f>B2*100/$C$35</f>
        <v>#REF!</v>
      </c>
      <c r="F2" s="11"/>
      <c r="G2" s="355" t="s">
        <v>4318</v>
      </c>
      <c r="H2" s="1">
        <f>SUM(B15:B17)</f>
        <v>5205925976</v>
      </c>
      <c r="I2">
        <f t="shared" ref="I2:I7" si="0">K2-$K$10</f>
        <v>1479980</v>
      </c>
      <c r="J2" s="207" t="s">
        <v>690</v>
      </c>
      <c r="K2" s="207">
        <v>1479980</v>
      </c>
      <c r="L2" s="276" t="e">
        <f t="shared" ref="L2:L7" si="1">K2*$O$516</f>
        <v>#REF!</v>
      </c>
      <c r="M2" s="355" t="e">
        <f t="shared" ref="M2:M7" si="2">L2*100/$L$10</f>
        <v>#REF!</v>
      </c>
      <c r="N2" s="1" t="e">
        <f t="shared" ref="N2:N7" si="3">M2*0.01*$N$10</f>
        <v>#REF!</v>
      </c>
    </row>
    <row r="3" spans="1:27">
      <c r="E3" s="518"/>
      <c r="F3" t="s">
        <v>25</v>
      </c>
      <c r="G3" s="355" t="s">
        <v>4319</v>
      </c>
      <c r="H3" s="1">
        <f>SUM(B11:B12)</f>
        <v>1077345840</v>
      </c>
      <c r="I3">
        <f t="shared" si="0"/>
        <v>2572827</v>
      </c>
      <c r="J3" s="207" t="s">
        <v>4317</v>
      </c>
      <c r="K3" s="207">
        <v>2572827</v>
      </c>
      <c r="L3" s="276" t="e">
        <f t="shared" si="1"/>
        <v>#REF!</v>
      </c>
      <c r="M3" s="355" t="e">
        <f t="shared" si="2"/>
        <v>#REF!</v>
      </c>
      <c r="N3" s="1" t="e">
        <f t="shared" si="3"/>
        <v>#REF!</v>
      </c>
    </row>
    <row r="4" spans="1:27">
      <c r="A4" s="360" t="s">
        <v>6592</v>
      </c>
      <c r="B4" s="469">
        <v>1782805943</v>
      </c>
      <c r="C4" s="373"/>
      <c r="D4" s="469"/>
      <c r="E4" s="362" t="e">
        <f>B4*100/$C$35</f>
        <v>#REF!</v>
      </c>
      <c r="F4" s="11"/>
      <c r="G4" s="355" t="s">
        <v>6834</v>
      </c>
      <c r="H4" s="1">
        <f>SUM(B5:B8)</f>
        <v>468865444</v>
      </c>
      <c r="I4">
        <f t="shared" si="0"/>
        <v>41446</v>
      </c>
      <c r="J4" s="207" t="s">
        <v>4316</v>
      </c>
      <c r="K4" s="207">
        <v>41446</v>
      </c>
      <c r="L4" s="276" t="e">
        <f t="shared" si="1"/>
        <v>#REF!</v>
      </c>
      <c r="M4" s="355" t="e">
        <f t="shared" si="2"/>
        <v>#REF!</v>
      </c>
      <c r="N4" s="1" t="e">
        <f t="shared" si="3"/>
        <v>#REF!</v>
      </c>
    </row>
    <row r="5" spans="1:27">
      <c r="A5" s="360" t="s">
        <v>6593</v>
      </c>
      <c r="B5" s="469">
        <f t="shared" ref="B5:B7" si="4">C5*D5</f>
        <v>359248840</v>
      </c>
      <c r="C5" s="373">
        <v>169457</v>
      </c>
      <c r="D5" s="360">
        <f>D20</f>
        <v>2120</v>
      </c>
      <c r="E5" s="362" t="e">
        <f>B5*100/$C$35</f>
        <v>#REF!</v>
      </c>
      <c r="F5" s="11"/>
      <c r="G5" s="355" t="s">
        <v>6835</v>
      </c>
      <c r="H5" s="1">
        <f>SUM(B2:B2)</f>
        <v>618590560</v>
      </c>
      <c r="I5">
        <f t="shared" si="0"/>
        <v>120081</v>
      </c>
      <c r="J5" s="207" t="s">
        <v>1005</v>
      </c>
      <c r="K5" s="207">
        <v>120081</v>
      </c>
      <c r="L5" s="276" t="e">
        <f t="shared" si="1"/>
        <v>#REF!</v>
      </c>
      <c r="M5" s="355" t="e">
        <f t="shared" si="2"/>
        <v>#REF!</v>
      </c>
      <c r="N5" s="1" t="e">
        <f t="shared" si="3"/>
        <v>#REF!</v>
      </c>
      <c r="T5" t="s">
        <v>25</v>
      </c>
      <c r="U5" t="s">
        <v>25</v>
      </c>
    </row>
    <row r="6" spans="1:27">
      <c r="A6" s="360" t="s">
        <v>7026</v>
      </c>
      <c r="B6" s="469">
        <f t="shared" si="4"/>
        <v>1039968</v>
      </c>
      <c r="C6" s="373">
        <v>2512</v>
      </c>
      <c r="D6" s="360">
        <f>'خرید و فروش نسبتی'!O34</f>
        <v>414</v>
      </c>
      <c r="E6" s="362" t="e">
        <f>B6*100/$C$35</f>
        <v>#REF!</v>
      </c>
      <c r="F6" s="205"/>
      <c r="G6" s="355" t="s">
        <v>4320</v>
      </c>
      <c r="H6" s="1">
        <f>B19</f>
        <v>538102</v>
      </c>
      <c r="I6" s="379">
        <f t="shared" si="0"/>
        <v>287123</v>
      </c>
      <c r="J6" s="207" t="s">
        <v>5281</v>
      </c>
      <c r="K6" s="207">
        <v>287123</v>
      </c>
      <c r="L6" s="276" t="e">
        <f t="shared" si="1"/>
        <v>#REF!</v>
      </c>
      <c r="M6" s="387" t="e">
        <f t="shared" si="2"/>
        <v>#REF!</v>
      </c>
      <c r="N6" s="1" t="e">
        <f t="shared" si="3"/>
        <v>#REF!</v>
      </c>
    </row>
    <row r="7" spans="1:27">
      <c r="A7" s="360" t="s">
        <v>4716</v>
      </c>
      <c r="B7" s="469">
        <f t="shared" si="4"/>
        <v>107931636</v>
      </c>
      <c r="C7" s="373">
        <v>6582</v>
      </c>
      <c r="D7" s="360">
        <f>'خرید و فروش نسبتی'!O38</f>
        <v>16398</v>
      </c>
      <c r="E7" s="362" t="e">
        <f>B7*100/$C$35</f>
        <v>#REF!</v>
      </c>
      <c r="F7" s="352"/>
      <c r="G7" s="355" t="s">
        <v>4321</v>
      </c>
      <c r="H7" s="1">
        <f>B14</f>
        <v>4886746768</v>
      </c>
      <c r="I7" s="379">
        <f t="shared" si="0"/>
        <v>94009</v>
      </c>
      <c r="J7" s="207" t="s">
        <v>6833</v>
      </c>
      <c r="K7" s="207">
        <v>94009</v>
      </c>
      <c r="L7" s="276" t="e">
        <f t="shared" si="1"/>
        <v>#REF!</v>
      </c>
      <c r="M7" s="387" t="e">
        <f t="shared" si="2"/>
        <v>#REF!</v>
      </c>
      <c r="N7" s="1" t="e">
        <f t="shared" si="3"/>
        <v>#REF!</v>
      </c>
      <c r="T7" t="s">
        <v>25</v>
      </c>
    </row>
    <row r="8" spans="1:27">
      <c r="A8" s="340" t="s">
        <v>6911</v>
      </c>
      <c r="B8" s="469">
        <f>C8*D8</f>
        <v>645000</v>
      </c>
      <c r="C8" s="373">
        <v>5000</v>
      </c>
      <c r="D8" s="360">
        <f>D27</f>
        <v>129</v>
      </c>
      <c r="E8" s="362" t="e">
        <f>B8*100/$C$35</f>
        <v>#REF!</v>
      </c>
      <c r="F8" s="352"/>
      <c r="G8" s="355" t="s">
        <v>4322</v>
      </c>
      <c r="H8" s="1">
        <f>B10</f>
        <v>97428</v>
      </c>
      <c r="I8" t="s">
        <v>25</v>
      </c>
      <c r="J8" s="207"/>
      <c r="K8" s="207"/>
      <c r="L8" s="207"/>
      <c r="M8" s="355"/>
      <c r="N8" s="355" t="s">
        <v>25</v>
      </c>
      <c r="U8" t="s">
        <v>25</v>
      </c>
    </row>
    <row r="9" spans="1:27">
      <c r="A9" s="352"/>
      <c r="B9" s="353"/>
      <c r="C9" s="371"/>
      <c r="D9" s="352"/>
      <c r="E9" s="518"/>
      <c r="F9" s="205"/>
      <c r="G9" s="355" t="s">
        <v>6836</v>
      </c>
      <c r="H9" s="1">
        <f>B4</f>
        <v>1782805943</v>
      </c>
      <c r="J9" s="207"/>
      <c r="K9" s="207">
        <f>SUM(K2:K7)</f>
        <v>4595466</v>
      </c>
      <c r="L9" s="207"/>
      <c r="M9" s="1" t="s">
        <v>25</v>
      </c>
      <c r="N9" s="355" t="s">
        <v>25</v>
      </c>
      <c r="U9" t="s">
        <v>25</v>
      </c>
    </row>
    <row r="10" spans="1:27">
      <c r="A10" s="359" t="s">
        <v>4323</v>
      </c>
      <c r="B10" s="358">
        <v>97428</v>
      </c>
      <c r="C10" s="375"/>
      <c r="D10" s="359"/>
      <c r="E10" s="362" t="e">
        <f>B10*100/$C$35</f>
        <v>#REF!</v>
      </c>
      <c r="F10" s="205"/>
      <c r="G10" s="355" t="s">
        <v>6837</v>
      </c>
      <c r="H10" s="1">
        <f>B1</f>
        <v>245473</v>
      </c>
      <c r="I10" t="s">
        <v>25</v>
      </c>
      <c r="J10" s="207"/>
      <c r="K10" s="207">
        <f>K9-P513</f>
        <v>0</v>
      </c>
      <c r="L10" s="276" t="e">
        <f>SUM(L2:L7)</f>
        <v>#REF!</v>
      </c>
      <c r="M10" s="355" t="s">
        <v>25</v>
      </c>
      <c r="N10" s="1">
        <v>1072496175</v>
      </c>
    </row>
    <row r="11" spans="1:27" ht="18" customHeight="1">
      <c r="A11" s="359" t="s">
        <v>4306</v>
      </c>
      <c r="B11" s="358">
        <f>C11*D11</f>
        <v>1077345840</v>
      </c>
      <c r="C11" s="375">
        <v>508182</v>
      </c>
      <c r="D11" s="359">
        <f>D20</f>
        <v>2120</v>
      </c>
      <c r="E11" s="362" t="e">
        <f>B11*100/$C$35</f>
        <v>#REF!</v>
      </c>
      <c r="F11" s="205"/>
      <c r="G11" s="355" t="s">
        <v>7017</v>
      </c>
      <c r="H11" s="1" t="e">
        <f>-F33</f>
        <v>#REF!</v>
      </c>
      <c r="I11" t="s">
        <v>25</v>
      </c>
      <c r="J11" s="207"/>
      <c r="K11" s="207" t="s">
        <v>5607</v>
      </c>
      <c r="L11" s="276" t="e">
        <f>H3+H8-L5</f>
        <v>#REF!</v>
      </c>
      <c r="M11" s="355" t="e">
        <f>L11/L4</f>
        <v>#REF!</v>
      </c>
      <c r="N11" s="355" t="s">
        <v>25</v>
      </c>
      <c r="P11" t="s">
        <v>25</v>
      </c>
    </row>
    <row r="12" spans="1:27">
      <c r="A12" s="359" t="s">
        <v>4542</v>
      </c>
      <c r="B12" s="358">
        <f>C12*D12</f>
        <v>0</v>
      </c>
      <c r="C12" s="375">
        <v>0</v>
      </c>
      <c r="D12" s="359">
        <f>D22</f>
        <v>414</v>
      </c>
      <c r="E12" s="362" t="e">
        <f>B12*100/$C$35</f>
        <v>#REF!</v>
      </c>
      <c r="F12" s="205"/>
      <c r="G12" s="355" t="s">
        <v>4922</v>
      </c>
      <c r="H12" s="1">
        <v>0</v>
      </c>
      <c r="I12" t="s">
        <v>25</v>
      </c>
      <c r="J12" s="207"/>
      <c r="K12" s="207" t="s">
        <v>5606</v>
      </c>
      <c r="L12" s="276" t="e">
        <f>L4-L11</f>
        <v>#REF!</v>
      </c>
      <c r="M12" s="355" t="e">
        <f>L12/L4</f>
        <v>#REF!</v>
      </c>
      <c r="N12" s="355"/>
      <c r="U12" t="s">
        <v>25</v>
      </c>
    </row>
    <row r="13" spans="1:27">
      <c r="A13" s="19"/>
      <c r="B13" s="37"/>
      <c r="C13" s="343"/>
      <c r="D13" s="19"/>
      <c r="E13" s="518"/>
      <c r="F13" s="205"/>
      <c r="G13" s="355" t="s">
        <v>6770</v>
      </c>
      <c r="H13" s="1">
        <f>0</f>
        <v>0</v>
      </c>
      <c r="J13" s="207"/>
      <c r="K13" s="207" t="s">
        <v>6869</v>
      </c>
      <c r="L13" s="276" t="e">
        <f>H2+H7-L2-L12</f>
        <v>#REF!</v>
      </c>
      <c r="M13" s="355" t="e">
        <f t="shared" ref="M13:M15" si="5">L13/L5</f>
        <v>#REF!</v>
      </c>
      <c r="N13" s="355" t="s">
        <v>25</v>
      </c>
      <c r="T13" s="35"/>
    </row>
    <row r="14" spans="1:27" ht="34.5" customHeight="1">
      <c r="A14" s="363" t="s">
        <v>6756</v>
      </c>
      <c r="B14" s="364">
        <v>4886746768</v>
      </c>
      <c r="C14" s="374" t="s">
        <v>857</v>
      </c>
      <c r="D14" s="363" t="s">
        <v>3843</v>
      </c>
      <c r="E14" s="362" t="e">
        <f>B14*100/$C$35</f>
        <v>#REF!</v>
      </c>
      <c r="F14" s="205"/>
      <c r="G14" s="279" t="s">
        <v>6997</v>
      </c>
      <c r="H14" s="1">
        <f>-373268*D20</f>
        <v>-791328160</v>
      </c>
      <c r="J14" s="207"/>
      <c r="K14" s="207" t="s">
        <v>6868</v>
      </c>
      <c r="L14" s="276" t="e">
        <f>H4+H9-L6</f>
        <v>#REF!</v>
      </c>
      <c r="M14" s="355" t="e">
        <f t="shared" si="5"/>
        <v>#REF!</v>
      </c>
      <c r="N14" s="11" t="s">
        <v>25</v>
      </c>
      <c r="T14" s="35"/>
    </row>
    <row r="15" spans="1:27">
      <c r="A15" s="363" t="s">
        <v>4188</v>
      </c>
      <c r="B15" s="364">
        <f t="shared" ref="B15:B17" si="6">C15*D15</f>
        <v>4997219480</v>
      </c>
      <c r="C15" s="374">
        <v>2357179</v>
      </c>
      <c r="D15" s="363">
        <f>D20</f>
        <v>2120</v>
      </c>
      <c r="E15" s="362" t="e">
        <f>B15*100/$C$35</f>
        <v>#REF!</v>
      </c>
      <c r="F15" s="205"/>
      <c r="G15" s="355" t="s">
        <v>6851</v>
      </c>
      <c r="H15" s="1">
        <f>-20908*D20</f>
        <v>-44324960</v>
      </c>
      <c r="J15" s="207"/>
      <c r="K15" s="207" t="s">
        <v>6870</v>
      </c>
      <c r="L15" s="276" t="e">
        <f>H5+H10-L7</f>
        <v>#REF!</v>
      </c>
      <c r="M15" s="355" t="e">
        <f t="shared" si="5"/>
        <v>#REF!</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t="e">
        <f>B17*100/$C$35</f>
        <v>#REF!</v>
      </c>
      <c r="F17" s="205"/>
      <c r="G17" s="355" t="s">
        <v>4324</v>
      </c>
      <c r="H17" s="1" t="e">
        <f>SUM(H1:H16)</f>
        <v>#REF!</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t="e">
        <f>B19*100/$C$35</f>
        <v>#REF!</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13412481040</v>
      </c>
      <c r="C20" s="376">
        <v>6326642</v>
      </c>
      <c r="D20" s="361">
        <f>'خرید و فروش نسبتی'!O32</f>
        <v>2120</v>
      </c>
      <c r="E20" s="362" t="e">
        <f>B20*100/$C$35</f>
        <v>#REF!</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t="e">
        <f>B21*100/$C$35</f>
        <v>#REF!</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t="e">
        <f>B22*100/$C$35</f>
        <v>#REF!</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8685000</v>
      </c>
      <c r="C24" s="376">
        <v>5000</v>
      </c>
      <c r="D24" s="361">
        <f>'خرید و فروش نسبتی'!O29</f>
        <v>1737</v>
      </c>
      <c r="E24" s="362" t="e">
        <f t="shared" ref="E24:E31" si="11">B24*100/$C$35</f>
        <v>#REF!</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451620000</v>
      </c>
      <c r="C25" s="376">
        <v>260000</v>
      </c>
      <c r="D25" s="361">
        <f>IF(D24&gt;2800,2800,D24)</f>
        <v>1737</v>
      </c>
      <c r="E25" s="362" t="e">
        <f t="shared" si="11"/>
        <v>#REF!</v>
      </c>
      <c r="F25" s="365" t="e">
        <f>C25*'خرید و فروش نسبتی'!#REF!</f>
        <v>#REF!</v>
      </c>
      <c r="G25" s="2" t="s">
        <v>4328</v>
      </c>
      <c r="H25" s="37" t="e">
        <f>-L13</f>
        <v>#REF!</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55584000</v>
      </c>
      <c r="C26" s="376">
        <v>32000</v>
      </c>
      <c r="D26" s="361">
        <f>IF(D24&gt;2600,260,D24)</f>
        <v>1737</v>
      </c>
      <c r="E26" s="362" t="e">
        <f t="shared" si="11"/>
        <v>#REF!</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t="e">
        <f t="shared" si="11"/>
        <v>#REF!</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285</v>
      </c>
      <c r="E28" s="362" t="e">
        <f t="shared" si="11"/>
        <v>#REF!</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473385000</v>
      </c>
      <c r="C29" s="376">
        <v>1661000</v>
      </c>
      <c r="D29" s="361">
        <f>IF(D28&gt;450,450,D28)</f>
        <v>285</v>
      </c>
      <c r="E29" s="362" t="e">
        <f t="shared" si="11"/>
        <v>#REF!</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t="e">
        <f t="shared" si="11"/>
        <v>#REF!</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t="e">
        <f t="shared" si="11"/>
        <v>#REF!</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t="e">
        <f>SUM(F1:F30)</f>
        <v>#REF!</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t="e">
        <f>SUM(B1:B32)-F33</f>
        <v>#REF!</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t="e">
        <f>C35/D31</f>
        <v>#REF!</v>
      </c>
      <c r="D37" s="371" t="e">
        <f>C35/D22</f>
        <v>#REF!</v>
      </c>
      <c r="E37" s="371" t="e">
        <f>C35/D20</f>
        <v>#REF!</v>
      </c>
      <c r="F37" s="371" t="e">
        <f>C35/D21</f>
        <v>#REF!</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9653248</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t="e">
        <f>D38/D37</f>
        <v>#REF!</v>
      </c>
      <c r="E39" s="472" t="e">
        <f>E38/E37</f>
        <v>#REF!</v>
      </c>
      <c r="F39" s="472" t="e">
        <f>F38/F37</f>
        <v>#REF!</v>
      </c>
      <c r="G39" s="48" t="s">
        <v>7029</v>
      </c>
      <c r="H39" s="37"/>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t="e">
        <f>D37*D35</f>
        <v>#REF!</v>
      </c>
      <c r="E40" s="371" t="e">
        <f>E37*E35</f>
        <v>#REF!</v>
      </c>
      <c r="F40" s="371" t="e">
        <f>F37*F35</f>
        <v>#REF!</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3233838080</v>
      </c>
      <c r="F41" s="371">
        <f>F38*F35</f>
        <v>800</v>
      </c>
      <c r="G41" s="2"/>
      <c r="H41" s="37"/>
      <c r="I41" s="588"/>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20464885760</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19487046360</v>
      </c>
      <c r="K55" s="471">
        <f>I55-J55</f>
        <v>199737953640</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4887382298</v>
      </c>
      <c r="K58" s="157">
        <f>I58-J58</f>
        <v>-4887382298</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9653248</v>
      </c>
      <c r="C124" s="479">
        <f>B124*D20</f>
        <v>20464885760</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473385000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515889000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6670433714</v>
      </c>
      <c r="C131" s="497">
        <f>B131</f>
        <v>6670433714</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14449030721.11628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14571119580.054716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14266861140.95594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10092672744</v>
      </c>
    </row>
    <row r="516" spans="13:42">
      <c r="O516" s="143" t="e">
        <f>H17/P513</f>
        <v>#REF!</v>
      </c>
      <c r="P516" s="35"/>
      <c r="Q516" s="35"/>
      <c r="R516" s="35"/>
      <c r="S516" s="35" t="s">
        <v>25</v>
      </c>
      <c r="T516" t="s">
        <v>25</v>
      </c>
      <c r="AB516" t="s">
        <v>25</v>
      </c>
      <c r="AK516" t="s">
        <v>4037</v>
      </c>
      <c r="AL516" s="7">
        <f>AL515-AL511</f>
        <v>10032660807.835819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9928303075.6303463</v>
      </c>
      <c r="AO518" t="s">
        <v>25</v>
      </c>
      <c r="AP518" t="s">
        <v>25</v>
      </c>
    </row>
    <row r="519" spans="13:42">
      <c r="O519" s="76"/>
      <c r="P519" s="1">
        <v>6000000</v>
      </c>
      <c r="Q519" s="35" t="e">
        <f>P519/O516</f>
        <v>#REF!</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t="e">
        <f>H17</f>
        <v>#REF!</v>
      </c>
      <c r="Q529" s="26" t="e">
        <f>P529-O529</f>
        <v>#REF!</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6"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9"/>
  <sheetViews>
    <sheetView tabSelected="1" topLeftCell="F26" zoomScale="85" zoomScaleNormal="85" workbookViewId="0">
      <selection activeCell="D50" activeCellId="5" sqref="D17 D21:D32 D35:D39 D41:D44 D46:D48 D50:D5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4.1407948372882482</v>
      </c>
      <c r="J1" s="438">
        <f t="shared" ref="J1" si="0">I1/H1</f>
        <v>1.0679422208091345</v>
      </c>
      <c r="K1" s="436">
        <f t="shared" ref="K1" si="1">(1/J1-1.0256)*100</f>
        <v>-8.9219753470986092</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4.1407948372882482</v>
      </c>
      <c r="J2" s="438">
        <f t="shared" ref="J2" si="2">I2/H2</f>
        <v>1.04642453013208</v>
      </c>
      <c r="K2" s="436">
        <f t="shared" ref="K2" si="3">(1/J2-1.0256)*100</f>
        <v>-6.9964910029603704</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0.39175076788064933</v>
      </c>
      <c r="J7" s="503">
        <f t="shared" ref="J7" si="7">I7/H7</f>
        <v>1.0151927213048353</v>
      </c>
      <c r="K7" s="557">
        <f t="shared" ref="K7" si="8">(1/J7-1.0256)*100</f>
        <v>-4.0565356809599713</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0.39175076788064933</v>
      </c>
      <c r="J8" s="503">
        <f t="shared" ref="J8" si="9">I8/H8</f>
        <v>1.0151927213048353</v>
      </c>
      <c r="K8" s="557">
        <f t="shared" ref="K8" si="10">(1/J8-1.0256)*100</f>
        <v>-4.0565356809599713</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0.39175076788064933</v>
      </c>
      <c r="J9" s="503">
        <f t="shared" ref="J9" si="11">I9/H9</f>
        <v>1.0380403574741308</v>
      </c>
      <c r="K9" s="557">
        <f t="shared" ref="K9" si="12">(1/J9-1.0256)*100</f>
        <v>-6.2246318421274811</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0.39175076788064933</v>
      </c>
      <c r="J10" s="503">
        <f t="shared" ref="J10" si="13">I10/H10</f>
        <v>1.0378915913597457</v>
      </c>
      <c r="K10" s="557">
        <f t="shared" ref="K10" si="14">(1/J10-1.0256)*100</f>
        <v>-6.2108236192668143</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0.39175076788064933</v>
      </c>
      <c r="J11" s="503">
        <f t="shared" ref="J11" si="15">I11/H11</f>
        <v>1.0402170010770271</v>
      </c>
      <c r="K11" s="557">
        <f t="shared" ref="K11" si="16">(1/J11-1.0256)*100</f>
        <v>-6.4262126301903315</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0.39175076788064933</v>
      </c>
      <c r="J12" s="503">
        <f t="shared" ref="J12" si="17">I12/H12</f>
        <v>1.0402170010770271</v>
      </c>
      <c r="K12" s="557">
        <f t="shared" ref="K12" si="18">(1/J12-1.0256)*100</f>
        <v>-6.4262126301903315</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0.39175076788064933</v>
      </c>
      <c r="J13" s="503">
        <f t="shared" ref="J13" si="19">I13/H13</f>
        <v>1.0402170010770271</v>
      </c>
      <c r="K13" s="557">
        <f t="shared" ref="K13" si="20">(1/J13-1.0256)*100</f>
        <v>-6.4262126301903315</v>
      </c>
      <c r="L13" s="495"/>
      <c r="M13" s="345"/>
    </row>
    <row r="14" spans="1:25" ht="18.75">
      <c r="A14" s="553" t="s">
        <v>7027</v>
      </c>
      <c r="B14" s="367" t="s">
        <v>5139</v>
      </c>
      <c r="C14" s="226">
        <v>792</v>
      </c>
      <c r="D14" s="370">
        <v>262448</v>
      </c>
      <c r="E14" s="554" t="s">
        <v>4134</v>
      </c>
      <c r="F14" s="555">
        <v>2101</v>
      </c>
      <c r="G14" s="302">
        <f t="shared" si="4"/>
        <v>97707.79180165063</v>
      </c>
      <c r="H14" s="503">
        <f t="shared" si="5"/>
        <v>0.37696335078534032</v>
      </c>
      <c r="I14" s="556">
        <f t="shared" si="6"/>
        <v>0.39175076788064933</v>
      </c>
      <c r="J14" s="503">
        <f t="shared" ref="J14" si="21">I14/H14</f>
        <v>1.0392277314611669</v>
      </c>
      <c r="K14" s="557">
        <f t="shared" ref="K14" si="22">(1/J14-1.0256)*100</f>
        <v>-6.3347002195574875</v>
      </c>
      <c r="L14" s="495"/>
      <c r="M14" s="345"/>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0.39175076788064933</v>
      </c>
      <c r="J15" s="503">
        <f t="shared" ref="J15" si="23">I15/H15</f>
        <v>1.0036211181666901</v>
      </c>
      <c r="K15" s="557">
        <f t="shared" ref="K15" si="24">(1/J15-1.0256)*100</f>
        <v>-2.9208052980496113</v>
      </c>
      <c r="L15" s="495"/>
      <c r="M15" s="345"/>
      <c r="N15" s="489" t="s">
        <v>7049</v>
      </c>
      <c r="O15" s="490">
        <v>53</v>
      </c>
      <c r="U15" s="482"/>
      <c r="W15" t="s">
        <v>25</v>
      </c>
    </row>
    <row r="16" spans="1:25" ht="21">
      <c r="A16" s="553"/>
      <c r="B16" s="367"/>
      <c r="C16" s="226"/>
      <c r="D16" s="370"/>
      <c r="E16" s="554"/>
      <c r="F16" s="555"/>
      <c r="G16" s="302"/>
      <c r="H16" s="503"/>
      <c r="I16" s="556"/>
      <c r="J16" s="503"/>
      <c r="K16" s="557"/>
      <c r="L16" s="495"/>
      <c r="M16" s="345"/>
      <c r="N16" s="489" t="s">
        <v>7047</v>
      </c>
      <c r="O16" s="490">
        <v>44</v>
      </c>
      <c r="S16" s="366"/>
      <c r="T16" s="366"/>
      <c r="W16" t="s">
        <v>25</v>
      </c>
    </row>
    <row r="17" spans="1:28" ht="21">
      <c r="A17" s="229" t="s">
        <v>7032</v>
      </c>
      <c r="B17" s="225" t="s">
        <v>4134</v>
      </c>
      <c r="C17" s="224">
        <v>1870</v>
      </c>
      <c r="D17" s="302">
        <v>329.75</v>
      </c>
      <c r="E17" s="580" t="s">
        <v>5594</v>
      </c>
      <c r="F17" s="581">
        <v>121.8</v>
      </c>
      <c r="G17" s="334">
        <f>C17*D17*0.9912/(F17*1.003631981)</f>
        <v>4999.9530242357723</v>
      </c>
      <c r="H17" s="582">
        <f>C17/F17</f>
        <v>15.353037766830871</v>
      </c>
      <c r="I17" s="583">
        <f>$O$32/$O$31</f>
        <v>16.434108527131784</v>
      </c>
      <c r="J17" s="582">
        <f>I17/H17</f>
        <v>1.0704141275960701</v>
      </c>
      <c r="K17" s="584">
        <f t="shared" ref="K17" si="25">(1/J17-1.0256)*100</f>
        <v>-9.1382135886234899</v>
      </c>
      <c r="L17" s="495"/>
      <c r="M17" s="345"/>
      <c r="N17" s="489" t="s">
        <v>7046</v>
      </c>
      <c r="O17" s="490">
        <v>36</v>
      </c>
      <c r="P17" s="330">
        <v>188309</v>
      </c>
      <c r="Q17" s="330">
        <v>15047000</v>
      </c>
      <c r="U17">
        <v>11211</v>
      </c>
      <c r="V17">
        <f>U17*Q17/P17</f>
        <v>895825.03757122601</v>
      </c>
    </row>
    <row r="18" spans="1:28" ht="21">
      <c r="A18" s="592" t="s">
        <v>7060</v>
      </c>
      <c r="B18" s="225" t="s">
        <v>4134</v>
      </c>
      <c r="C18" s="224">
        <v>2096</v>
      </c>
      <c r="D18" s="302">
        <v>307.25</v>
      </c>
      <c r="E18" s="436" t="s">
        <v>5594</v>
      </c>
      <c r="F18" s="437">
        <v>127.2</v>
      </c>
      <c r="G18" s="484">
        <f>C18*D18*0.9912/(F18*1.003631981)</f>
        <v>5000.148010259737</v>
      </c>
      <c r="H18" s="438">
        <f>C18/F18</f>
        <v>16.477987421383649</v>
      </c>
      <c r="I18" s="483">
        <f>$O$32/$O$31</f>
        <v>16.434108527131784</v>
      </c>
      <c r="J18" s="438">
        <f>I18/H18</f>
        <v>0.99733712053967694</v>
      </c>
      <c r="K18" s="439">
        <f t="shared" ref="K18" si="26">(1/J18-1.0256)*100</f>
        <v>-2.293001067995748</v>
      </c>
      <c r="L18" s="495"/>
      <c r="M18" s="345"/>
      <c r="N18" s="489" t="s">
        <v>7045</v>
      </c>
      <c r="O18" s="490">
        <v>15</v>
      </c>
      <c r="P18" s="330">
        <f>P17*Q18/Q17</f>
        <v>52011.178573802084</v>
      </c>
      <c r="Q18" s="330">
        <v>4156000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11.1</v>
      </c>
      <c r="P19" s="330">
        <f>P17-P18</f>
        <v>136297.82142619792</v>
      </c>
      <c r="Q19" s="330">
        <f>Q17-Q18</f>
        <v>10891000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8</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302">
        <f>6770.8131*G21/25</f>
        <v>7041.6456240000007</v>
      </c>
      <c r="E21" s="565" t="s">
        <v>7033</v>
      </c>
      <c r="F21" s="566">
        <v>17.8</v>
      </c>
      <c r="G21" s="567">
        <v>26</v>
      </c>
      <c r="H21" s="302">
        <f t="shared" ref="H21:H26" si="27">C21*D21*0.9912/G21</f>
        <v>501999.99986505602</v>
      </c>
      <c r="I21" s="555">
        <f t="shared" ref="I21:I46" si="28">(F21+G21)*H21</f>
        <v>21987599.994089451</v>
      </c>
      <c r="J21" s="438">
        <f>(I21-H21*$O$27)/($O$32*1.003631981)</f>
        <v>8257.743877961133</v>
      </c>
      <c r="K21" s="439">
        <f t="shared" ref="K21:K27" si="29">(J21-D21)*100/D21</f>
        <v>17.270085984110185</v>
      </c>
      <c r="L21" s="495">
        <f t="shared" ref="L21:L50" si="30">D21*K21/100</f>
        <v>1216.0982539611323</v>
      </c>
      <c r="M21" s="345">
        <f t="shared" ref="M21:M51" si="31">(F21+G21)*H21</f>
        <v>21987599.994089451</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7048</v>
      </c>
      <c r="B22" s="225" t="s">
        <v>4134</v>
      </c>
      <c r="C22" s="224">
        <v>1818</v>
      </c>
      <c r="D22" s="302">
        <f>27.75*G22/25</f>
        <v>28.86</v>
      </c>
      <c r="E22" s="565" t="s">
        <v>7033</v>
      </c>
      <c r="F22" s="566">
        <v>17.5</v>
      </c>
      <c r="G22" s="567">
        <v>26</v>
      </c>
      <c r="H22" s="302">
        <f t="shared" si="27"/>
        <v>2000.2217759999999</v>
      </c>
      <c r="I22" s="555">
        <f>(F22+G22)*H22</f>
        <v>87009.647255999997</v>
      </c>
      <c r="J22" s="438">
        <f>(I22-H22*$O$27)/($O$32*1.003631981)</f>
        <v>32.621000216446831</v>
      </c>
      <c r="K22" s="439">
        <f>(J22-D22)*100/D22</f>
        <v>13.031878781867052</v>
      </c>
      <c r="L22" s="495">
        <f t="shared" si="30"/>
        <v>3.7610002164468312</v>
      </c>
      <c r="M22" s="345">
        <f t="shared" si="31"/>
        <v>87009.647255999997</v>
      </c>
      <c r="N22" s="489" t="s">
        <v>7038</v>
      </c>
      <c r="O22" s="490">
        <v>37</v>
      </c>
      <c r="P22" s="602">
        <f>P21*1000/H33*D33</f>
        <v>107000.76705543132</v>
      </c>
      <c r="Q22" s="65">
        <f>Q21*1000/H34*188309</f>
        <v>71858.618745782922</v>
      </c>
      <c r="S22" s="482"/>
      <c r="T22" s="482"/>
      <c r="V22" s="366"/>
      <c r="Y22" s="538"/>
      <c r="Z22" s="454"/>
      <c r="AA22" s="454"/>
      <c r="AB22" s="454"/>
    </row>
    <row r="23" spans="1:28" ht="21">
      <c r="A23" s="229" t="s">
        <v>7032</v>
      </c>
      <c r="B23" s="225" t="s">
        <v>4134</v>
      </c>
      <c r="C23" s="224">
        <v>1870</v>
      </c>
      <c r="D23" s="302">
        <f>2036.639*G23/25</f>
        <v>2118.1045599999998</v>
      </c>
      <c r="E23" s="568" t="s">
        <v>7034</v>
      </c>
      <c r="F23" s="569">
        <v>26.8</v>
      </c>
      <c r="G23" s="570">
        <v>26</v>
      </c>
      <c r="H23" s="302">
        <f t="shared" si="27"/>
        <v>150999.99994463997</v>
      </c>
      <c r="I23" s="555">
        <f t="shared" si="28"/>
        <v>7972799.9970769901</v>
      </c>
      <c r="J23" s="438">
        <f>(I23-H23*$O$26)/($O$32*1.003631981)</f>
        <v>2256.8033323457826</v>
      </c>
      <c r="K23" s="439">
        <f t="shared" si="29"/>
        <v>6.5482495512772427</v>
      </c>
      <c r="L23" s="495">
        <f t="shared" si="30"/>
        <v>138.6987723457828</v>
      </c>
      <c r="M23" s="345">
        <f t="shared" si="31"/>
        <v>7972799.9970769901</v>
      </c>
      <c r="N23" s="489" t="s">
        <v>7037</v>
      </c>
      <c r="O23" s="490">
        <v>28</v>
      </c>
      <c r="P23" s="603">
        <f>P22+Q22</f>
        <v>178859.38580121426</v>
      </c>
      <c r="Q23" s="604"/>
      <c r="S23" s="352">
        <v>63932.799498746863</v>
      </c>
      <c r="T23" s="352">
        <f>S23*O32*1.003632/(O38*0.9912)</f>
        <v>8369.1607049608083</v>
      </c>
      <c r="U23" s="355" t="s">
        <v>4716</v>
      </c>
      <c r="V23" s="355"/>
      <c r="W23" s="355"/>
      <c r="Y23" s="454"/>
      <c r="Z23" s="454"/>
      <c r="AA23" s="454"/>
      <c r="AB23" s="454"/>
    </row>
    <row r="24" spans="1:28" ht="21">
      <c r="A24" s="229" t="s">
        <v>7032</v>
      </c>
      <c r="B24" s="225" t="s">
        <v>4134</v>
      </c>
      <c r="C24" s="224">
        <v>1870</v>
      </c>
      <c r="D24" s="302">
        <f>14849.993073*G24/25</f>
        <v>15443.992795919999</v>
      </c>
      <c r="E24" s="189" t="s">
        <v>7035</v>
      </c>
      <c r="F24" s="190">
        <v>8.9</v>
      </c>
      <c r="G24" s="571">
        <v>26</v>
      </c>
      <c r="H24" s="302">
        <f t="shared" si="27"/>
        <v>1101004.6224200283</v>
      </c>
      <c r="I24" s="555">
        <f t="shared" si="28"/>
        <v>38425061.32245899</v>
      </c>
      <c r="J24" s="438">
        <f>(I24-H24*$O$25)/($O$32*1.003631981)</f>
        <v>15472.12544490113</v>
      </c>
      <c r="K24" s="439">
        <f t="shared" si="29"/>
        <v>0.18215916928271902</v>
      </c>
      <c r="L24" s="495">
        <f t="shared" si="30"/>
        <v>28.132648981130842</v>
      </c>
      <c r="M24" s="345">
        <f t="shared" si="31"/>
        <v>38425061.32245899</v>
      </c>
      <c r="N24" s="489" t="s">
        <v>7036</v>
      </c>
      <c r="O24" s="490">
        <v>28</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7032</v>
      </c>
      <c r="B25" s="225" t="s">
        <v>4134</v>
      </c>
      <c r="C25" s="224">
        <v>1870</v>
      </c>
      <c r="D25" s="302">
        <f>6743.8378*G25/25</f>
        <v>7013.5913120000005</v>
      </c>
      <c r="E25" s="562" t="s">
        <v>7036</v>
      </c>
      <c r="F25" s="563">
        <v>19</v>
      </c>
      <c r="G25" s="564">
        <v>26</v>
      </c>
      <c r="H25" s="302">
        <f t="shared" si="27"/>
        <v>500000.003646528</v>
      </c>
      <c r="I25" s="555">
        <f t="shared" si="28"/>
        <v>22500000.164093759</v>
      </c>
      <c r="J25" s="438">
        <f>(I25-H25*$O$24)/($O$32*1.003631981)</f>
        <v>3994.9245016188625</v>
      </c>
      <c r="K25" s="439">
        <f t="shared" si="29"/>
        <v>-43.040243950575054</v>
      </c>
      <c r="L25" s="495">
        <f t="shared" si="30"/>
        <v>-3018.6668103811376</v>
      </c>
      <c r="M25" s="345">
        <f t="shared" si="31"/>
        <v>22500000.164093759</v>
      </c>
      <c r="N25" s="489" t="s">
        <v>7035</v>
      </c>
      <c r="O25" s="490">
        <v>5</v>
      </c>
      <c r="P25" s="65">
        <v>152209</v>
      </c>
      <c r="Q25" s="65"/>
      <c r="R25" s="601" t="s">
        <v>869</v>
      </c>
      <c r="S25" s="63">
        <v>20774</v>
      </c>
      <c r="T25" s="63">
        <f>S25/0.9912</f>
        <v>20958.434221146086</v>
      </c>
    </row>
    <row r="26" spans="1:28" ht="21">
      <c r="A26" s="229" t="s">
        <v>7032</v>
      </c>
      <c r="B26" s="225" t="s">
        <v>4134</v>
      </c>
      <c r="C26" s="224">
        <v>1870</v>
      </c>
      <c r="D26" s="302">
        <f>2023.151326*G26/25</f>
        <v>2104.0773790399999</v>
      </c>
      <c r="E26" s="386" t="s">
        <v>7037</v>
      </c>
      <c r="F26" s="572">
        <v>28</v>
      </c>
      <c r="G26" s="573">
        <v>26</v>
      </c>
      <c r="H26" s="302">
        <f t="shared" si="27"/>
        <v>150000.00005597377</v>
      </c>
      <c r="I26" s="555">
        <f t="shared" si="28"/>
        <v>8100000.0030225832</v>
      </c>
      <c r="J26" s="438">
        <f>(I26-H26*$O$23)/($O$32*1.003631981)</f>
        <v>1832.9653468823694</v>
      </c>
      <c r="K26" s="439">
        <f t="shared" si="29"/>
        <v>-12.885078983232415</v>
      </c>
      <c r="L26" s="495">
        <f t="shared" si="30"/>
        <v>-271.11203215763044</v>
      </c>
      <c r="M26" s="345">
        <f t="shared" si="31"/>
        <v>8100000.0030225832</v>
      </c>
      <c r="N26" s="489" t="s">
        <v>7034</v>
      </c>
      <c r="O26" s="490">
        <v>21</v>
      </c>
      <c r="P26" s="602">
        <f>P23-P25</f>
        <v>26650.385801214259</v>
      </c>
      <c r="Q26" s="65"/>
      <c r="R26" s="601" t="s">
        <v>61</v>
      </c>
      <c r="S26" s="63">
        <v>19222</v>
      </c>
      <c r="T26" s="63">
        <f>S26/1.003631981</f>
        <v>19152.438706514273</v>
      </c>
      <c r="V26" s="560"/>
      <c r="W26" s="560"/>
      <c r="X26" s="560"/>
      <c r="Y26" s="560"/>
    </row>
    <row r="27" spans="1:28" ht="21">
      <c r="A27" s="229" t="s">
        <v>7032</v>
      </c>
      <c r="B27" s="225" t="s">
        <v>4134</v>
      </c>
      <c r="C27" s="224">
        <v>1870</v>
      </c>
      <c r="D27" s="302">
        <f>674.383775*G27/25</f>
        <v>701.35912599999995</v>
      </c>
      <c r="E27" s="574" t="s">
        <v>7038</v>
      </c>
      <c r="F27" s="486">
        <v>37</v>
      </c>
      <c r="G27" s="575">
        <v>26</v>
      </c>
      <c r="H27" s="302">
        <f>C27*D27*0.9912/G27</f>
        <v>49999.999993943995</v>
      </c>
      <c r="I27" s="555">
        <f t="shared" si="28"/>
        <v>3149999.9996184716</v>
      </c>
      <c r="J27" s="438">
        <f>(I27-H27*$O$22)/($O$32*1.003631981)</f>
        <v>610.9884486587913</v>
      </c>
      <c r="K27" s="439">
        <f t="shared" si="29"/>
        <v>-12.885078983232429</v>
      </c>
      <c r="L27" s="495">
        <f t="shared" si="30"/>
        <v>-90.370677341208648</v>
      </c>
      <c r="M27" s="345">
        <f t="shared" si="31"/>
        <v>3149999.9996184716</v>
      </c>
      <c r="N27" s="489" t="s">
        <v>7033</v>
      </c>
      <c r="O27" s="490">
        <v>8.8000000000000007</v>
      </c>
      <c r="R27" s="63" t="s">
        <v>6154</v>
      </c>
      <c r="S27" s="63">
        <v>14984</v>
      </c>
      <c r="T27" s="63">
        <f>S27*0.9912/1.003631981</f>
        <v>14798.393316643422</v>
      </c>
      <c r="V27" s="560"/>
      <c r="W27" s="560"/>
      <c r="X27" s="560"/>
      <c r="Y27" s="560"/>
    </row>
    <row r="28" spans="1:28" ht="21">
      <c r="A28" s="229" t="s">
        <v>7052</v>
      </c>
      <c r="B28" s="225" t="s">
        <v>4134</v>
      </c>
      <c r="C28" s="224">
        <v>1812.2</v>
      </c>
      <c r="D28" s="302">
        <f>62663.79*G28/24</f>
        <v>67885.772500000006</v>
      </c>
      <c r="E28" s="587" t="s">
        <v>7043</v>
      </c>
      <c r="F28" s="576">
        <v>10.1</v>
      </c>
      <c r="G28" s="383">
        <v>26</v>
      </c>
      <c r="H28" s="302">
        <f t="shared" ref="H28" si="32">C28*D28*0.9912/G28</f>
        <v>4689999.9258294012</v>
      </c>
      <c r="I28" s="555">
        <f t="shared" ref="I28" si="33">(F28+G28)*H28</f>
        <v>169308997.3224414</v>
      </c>
      <c r="J28" s="438">
        <f t="shared" ref="J28:J32" si="34">(I28-H28*$O$20)/($O$32*1.003631981)</f>
        <v>61939.657997406066</v>
      </c>
      <c r="K28" s="439">
        <f t="shared" ref="K28" si="35">(J28-D28)*100/D28</f>
        <v>-8.7589995423473148</v>
      </c>
      <c r="L28" s="495">
        <f t="shared" si="30"/>
        <v>-5946.1145025939404</v>
      </c>
      <c r="M28" s="345">
        <f t="shared" si="31"/>
        <v>169308997.3224414</v>
      </c>
      <c r="N28" s="332" t="s">
        <v>7031</v>
      </c>
      <c r="O28" s="313">
        <v>54.9</v>
      </c>
      <c r="R28" s="63" t="s">
        <v>1004</v>
      </c>
      <c r="S28" s="63">
        <v>1155794</v>
      </c>
      <c r="T28" s="63">
        <f>S28/1.00125</f>
        <v>1154351.0611735331</v>
      </c>
      <c r="V28" s="560"/>
      <c r="W28" s="560"/>
      <c r="X28" s="560"/>
      <c r="Y28" s="560"/>
    </row>
    <row r="29" spans="1:28" ht="21">
      <c r="A29" s="229" t="s">
        <v>7057</v>
      </c>
      <c r="B29" s="225" t="s">
        <v>4134</v>
      </c>
      <c r="C29" s="224">
        <v>2083</v>
      </c>
      <c r="D29" s="302">
        <f>217789.81*G29/24</f>
        <v>235938.96083333332</v>
      </c>
      <c r="E29" s="587" t="s">
        <v>7043</v>
      </c>
      <c r="F29" s="576">
        <v>8.1</v>
      </c>
      <c r="G29" s="383">
        <v>26</v>
      </c>
      <c r="H29" s="302">
        <f t="shared" ref="H29" si="36">C29*D29*0.9912/G29</f>
        <v>18735999.995698996</v>
      </c>
      <c r="I29" s="555">
        <f t="shared" ref="I29" si="37">(F29+G29)*H29</f>
        <v>638897599.85333574</v>
      </c>
      <c r="J29" s="438">
        <f t="shared" si="34"/>
        <v>229830.16680835153</v>
      </c>
      <c r="K29" s="439">
        <f t="shared" ref="K29" si="38">(J29-D29)*100/D29</f>
        <v>-2.5891417014831339</v>
      </c>
      <c r="L29" s="495">
        <f t="shared" ref="L29" si="39">D29*K29/100</f>
        <v>-6108.7940249817912</v>
      </c>
      <c r="M29" s="345">
        <f t="shared" si="31"/>
        <v>638897599.85333574</v>
      </c>
      <c r="N29" s="492" t="s">
        <v>6908</v>
      </c>
      <c r="O29" s="493">
        <v>1737</v>
      </c>
    </row>
    <row r="30" spans="1:28" ht="21">
      <c r="A30" s="229" t="s">
        <v>7058</v>
      </c>
      <c r="B30" s="225" t="s">
        <v>4134</v>
      </c>
      <c r="C30" s="224">
        <v>2083</v>
      </c>
      <c r="D30" s="302">
        <f>166097.28*G30/24</f>
        <v>179938.72</v>
      </c>
      <c r="E30" s="587" t="s">
        <v>7043</v>
      </c>
      <c r="F30" s="576">
        <v>8.25</v>
      </c>
      <c r="G30" s="383">
        <v>26</v>
      </c>
      <c r="H30" s="302">
        <f t="shared" ref="H30:H31" si="40">C30*D30*0.9912/G30</f>
        <v>14289000.194111999</v>
      </c>
      <c r="I30" s="555">
        <f t="shared" ref="I30:I31" si="41">(F30+G30)*H30</f>
        <v>489398256.64833599</v>
      </c>
      <c r="J30" s="438">
        <f t="shared" si="34"/>
        <v>176287.20703212006</v>
      </c>
      <c r="K30" s="439">
        <f t="shared" ref="K30" si="42">(J30-D30)*100/D30</f>
        <v>-2.029309182526108</v>
      </c>
      <c r="L30" s="495">
        <f t="shared" ref="L30" si="43">D30*K30/100</f>
        <v>-3651.5129678799426</v>
      </c>
      <c r="M30" s="345">
        <f t="shared" ref="M30" si="44">(F30+G30)*H30</f>
        <v>489398256.64833599</v>
      </c>
      <c r="N30" s="489" t="s">
        <v>6907</v>
      </c>
      <c r="O30" s="489">
        <v>285</v>
      </c>
    </row>
    <row r="31" spans="1:28" ht="21">
      <c r="A31" s="229" t="s">
        <v>7059</v>
      </c>
      <c r="B31" s="225" t="s">
        <v>4134</v>
      </c>
      <c r="C31" s="224">
        <v>2083</v>
      </c>
      <c r="D31" s="302">
        <f>90575.27*G31/24</f>
        <v>98123.209166666667</v>
      </c>
      <c r="E31" s="587" t="s">
        <v>7043</v>
      </c>
      <c r="F31" s="576">
        <v>8.5399999999999991</v>
      </c>
      <c r="G31" s="383">
        <v>26</v>
      </c>
      <c r="H31" s="302">
        <f t="shared" si="40"/>
        <v>7792000.270033</v>
      </c>
      <c r="I31" s="555">
        <f t="shared" si="41"/>
        <v>269135689.32693982</v>
      </c>
      <c r="J31" s="438">
        <f t="shared" si="34"/>
        <v>97194.015431072621</v>
      </c>
      <c r="K31" s="439">
        <f t="shared" ref="K31" si="45">(J31-D31)*100/D31</f>
        <v>-0.94696631254260055</v>
      </c>
      <c r="L31" s="495">
        <f t="shared" ref="L31" si="46">D31*K31/100</f>
        <v>-929.1937355940463</v>
      </c>
      <c r="M31" s="345">
        <f t="shared" ref="M31" si="47">(F31+G31)*H31</f>
        <v>269135689.32693982</v>
      </c>
      <c r="N31" s="332" t="s">
        <v>5594</v>
      </c>
      <c r="O31" s="332">
        <v>129</v>
      </c>
      <c r="P31" s="560"/>
    </row>
    <row r="32" spans="1:28" ht="21">
      <c r="A32" s="229" t="s">
        <v>7060</v>
      </c>
      <c r="B32" s="225" t="s">
        <v>4134</v>
      </c>
      <c r="C32" s="224">
        <v>2100</v>
      </c>
      <c r="D32" s="302">
        <f>20335.14*G32/26</f>
        <v>20335.14</v>
      </c>
      <c r="E32" s="587" t="s">
        <v>7043</v>
      </c>
      <c r="F32" s="576">
        <v>9</v>
      </c>
      <c r="G32" s="383">
        <v>26</v>
      </c>
      <c r="H32" s="302">
        <f t="shared" ref="H32" si="48">C32*D32*0.9912/G32</f>
        <v>1628000.0235692309</v>
      </c>
      <c r="I32" s="555">
        <f t="shared" ref="I32" si="49">(F32+G32)*H32</f>
        <v>56980000.824923083</v>
      </c>
      <c r="J32" s="438">
        <f t="shared" si="34"/>
        <v>20658.929724086891</v>
      </c>
      <c r="K32" s="439">
        <f t="shared" ref="K32" si="50">(J32-D32)*100/D32</f>
        <v>1.5922670022772969</v>
      </c>
      <c r="L32" s="495">
        <f t="shared" ref="L32" si="51">D32*K32/100</f>
        <v>323.78972408689151</v>
      </c>
      <c r="M32" s="345">
        <f t="shared" ref="M32" si="52">(F32+G32)*H32</f>
        <v>56980000.824923083</v>
      </c>
      <c r="N32" s="303" t="s">
        <v>4134</v>
      </c>
      <c r="O32" s="532">
        <v>2120</v>
      </c>
      <c r="U32" t="s">
        <v>25</v>
      </c>
    </row>
    <row r="33" spans="1:22" ht="21">
      <c r="A33" s="592" t="s">
        <v>7060</v>
      </c>
      <c r="B33" s="225" t="s">
        <v>4134</v>
      </c>
      <c r="C33" s="224">
        <v>2096</v>
      </c>
      <c r="D33" s="302">
        <f>1067642.39*G33/26</f>
        <v>1067642.3899999999</v>
      </c>
      <c r="E33" s="587" t="s">
        <v>7043</v>
      </c>
      <c r="F33" s="576">
        <v>8.74</v>
      </c>
      <c r="G33" s="383">
        <v>26</v>
      </c>
      <c r="H33" s="599">
        <f t="shared" ref="H33" si="53">C33*D33*0.9912/G33</f>
        <v>85310999.964804903</v>
      </c>
      <c r="I33" s="555">
        <f>(F33+G33)*H33</f>
        <v>2963704138.7773223</v>
      </c>
      <c r="J33" s="438">
        <f>(I33-H33*$O$20)/($O$32*1.003631981)</f>
        <v>1072151.3154060012</v>
      </c>
      <c r="K33" s="483">
        <f>(J33-D33)*100/D33</f>
        <v>0.42232543857698229</v>
      </c>
      <c r="L33" s="495">
        <f t="shared" ref="L33" si="54">D33*K33/100</f>
        <v>4508.9254060012754</v>
      </c>
      <c r="M33" s="345">
        <f t="shared" ref="M33" si="55">(F33+G33)*H33</f>
        <v>2963704138.7773223</v>
      </c>
      <c r="N33" s="304" t="s">
        <v>5139</v>
      </c>
      <c r="O33" s="551">
        <f>P33*(1+P3)</f>
        <v>830.51162790697663</v>
      </c>
      <c r="P33" s="551">
        <v>768</v>
      </c>
      <c r="Q33" s="560"/>
      <c r="R33" s="560"/>
      <c r="S33" s="560"/>
    </row>
    <row r="34" spans="1:22" ht="21">
      <c r="A34" s="592" t="s">
        <v>7060</v>
      </c>
      <c r="B34" s="225" t="s">
        <v>4134</v>
      </c>
      <c r="C34" s="224">
        <v>2096</v>
      </c>
      <c r="D34" s="302">
        <f>136297.7*G34/26</f>
        <v>136297.70000000001</v>
      </c>
      <c r="E34" s="589" t="s">
        <v>7044</v>
      </c>
      <c r="F34" s="345">
        <v>11.75</v>
      </c>
      <c r="G34" s="334">
        <v>26</v>
      </c>
      <c r="H34" s="600">
        <f t="shared" ref="H34" si="56">C34*D34*0.9912/G34</f>
        <v>10890999.822424617</v>
      </c>
      <c r="I34" s="555">
        <f t="shared" ref="I34" si="57">(F34+G34)*H34</f>
        <v>411135243.29652929</v>
      </c>
      <c r="J34" s="438">
        <f>(I34-H34*$O$19)/($O$32*1.003631981)</f>
        <v>136412.63927637329</v>
      </c>
      <c r="K34" s="439">
        <f>(J34-D34)*100/D34</f>
        <v>8.4329578836088784E-2</v>
      </c>
      <c r="L34" s="495">
        <f t="shared" ref="L34" si="58">D34*K34/100</f>
        <v>114.93927637327579</v>
      </c>
      <c r="M34" s="345">
        <f t="shared" ref="M34" si="59">(F34+G34)*H34</f>
        <v>411135243.29652929</v>
      </c>
      <c r="N34" s="312" t="s">
        <v>4542</v>
      </c>
      <c r="O34" s="312">
        <v>414</v>
      </c>
      <c r="P34" s="560">
        <f>(O34*2085+(O34-100)*512)/2000</f>
        <v>511.97899999999998</v>
      </c>
      <c r="Q34" s="560"/>
      <c r="R34" s="560"/>
      <c r="S34" s="560"/>
    </row>
    <row r="35" spans="1:22" ht="21">
      <c r="A35" s="229" t="s">
        <v>7070</v>
      </c>
      <c r="B35" s="225" t="s">
        <v>4134</v>
      </c>
      <c r="C35" s="224">
        <v>2100</v>
      </c>
      <c r="D35" s="302">
        <f>274.8*G35/26</f>
        <v>274.8</v>
      </c>
      <c r="E35" s="589" t="s">
        <v>7044</v>
      </c>
      <c r="F35" s="345">
        <v>11.5</v>
      </c>
      <c r="G35" s="334">
        <v>26</v>
      </c>
      <c r="H35" s="600">
        <f t="shared" ref="H35" si="60">C35*D35*0.9912/G35</f>
        <v>22000.065230769229</v>
      </c>
      <c r="I35" s="555">
        <f t="shared" ref="I35" si="61">(F35+G35)*H35</f>
        <v>825002.4461538461</v>
      </c>
      <c r="J35" s="438">
        <f>(I35-H35*$O$19)/($O$32*1.003631981)</f>
        <v>272.97164861731886</v>
      </c>
      <c r="K35" s="439">
        <f>(J35-D35)*100/D35</f>
        <v>-0.66533893110667708</v>
      </c>
      <c r="L35" s="495">
        <f t="shared" ref="L35" si="62">D35*K35/100</f>
        <v>-1.8283513826811486</v>
      </c>
      <c r="M35" s="345">
        <f t="shared" ref="M35" si="63">(F35+G35)*H35</f>
        <v>825002.4461538461</v>
      </c>
      <c r="N35" s="313" t="s">
        <v>5592</v>
      </c>
      <c r="O35" s="313">
        <v>1867</v>
      </c>
      <c r="P35" s="560"/>
      <c r="Q35" s="560" t="s">
        <v>5281</v>
      </c>
      <c r="R35" s="560" t="s">
        <v>690</v>
      </c>
      <c r="S35" s="560"/>
    </row>
    <row r="36" spans="1:22" ht="21">
      <c r="A36" s="229" t="s">
        <v>7048</v>
      </c>
      <c r="B36" s="225" t="s">
        <v>4134</v>
      </c>
      <c r="C36" s="224">
        <v>1818</v>
      </c>
      <c r="D36" s="302">
        <f>1997.78*G36/24</f>
        <v>2164.2616666666668</v>
      </c>
      <c r="E36" s="577" t="s">
        <v>7045</v>
      </c>
      <c r="F36" s="578">
        <v>30.4</v>
      </c>
      <c r="G36" s="579">
        <v>26</v>
      </c>
      <c r="H36" s="302">
        <f t="shared" ref="H36:H46" si="64">C36*D36*0.9912/G36</f>
        <v>150000.114852</v>
      </c>
      <c r="I36" s="555">
        <f t="shared" si="28"/>
        <v>8460006.4776527993</v>
      </c>
      <c r="J36" s="438">
        <f>(I36-H36*$O$18)/($O$32*1.003631981)</f>
        <v>2918.6470552330829</v>
      </c>
      <c r="K36" s="439">
        <f t="shared" ref="K36:K46" si="65">(J36-D36)*100/D36</f>
        <v>34.856477855022902</v>
      </c>
      <c r="L36" s="495">
        <f t="shared" si="30"/>
        <v>754.38538856641617</v>
      </c>
      <c r="M36" s="345">
        <f t="shared" si="31"/>
        <v>8460006.4776527993</v>
      </c>
      <c r="N36" s="313" t="s">
        <v>6810</v>
      </c>
      <c r="O36" s="313">
        <v>18670</v>
      </c>
      <c r="P36" s="560"/>
      <c r="Q36" s="302">
        <v>2512</v>
      </c>
      <c r="R36" s="302">
        <v>502564</v>
      </c>
      <c r="S36" s="560" t="s">
        <v>4542</v>
      </c>
    </row>
    <row r="37" spans="1:22" ht="23.25">
      <c r="A37" s="229" t="s">
        <v>7050</v>
      </c>
      <c r="B37" s="225" t="s">
        <v>4134</v>
      </c>
      <c r="C37" s="224">
        <v>1806</v>
      </c>
      <c r="D37" s="302">
        <f>268.141*G37/24</f>
        <v>290.48608333333334</v>
      </c>
      <c r="E37" s="577" t="s">
        <v>7045</v>
      </c>
      <c r="F37" s="578">
        <v>28</v>
      </c>
      <c r="G37" s="579">
        <v>26</v>
      </c>
      <c r="H37" s="302">
        <f t="shared" ref="H37" si="66">C37*D37*0.9912/G37</f>
        <v>20000.047279800001</v>
      </c>
      <c r="I37" s="555">
        <f t="shared" ref="I37" si="67">(F37+G37)*H37</f>
        <v>1080002.5531092</v>
      </c>
      <c r="J37" s="438">
        <f>(I37-H37*$O$18)/($O$32*1.003631981)</f>
        <v>366.59393586202634</v>
      </c>
      <c r="K37" s="439">
        <f t="shared" ref="K37" si="68">(J37-D37)*100/D37</f>
        <v>26.200171676162224</v>
      </c>
      <c r="L37" s="495">
        <f t="shared" si="30"/>
        <v>76.107852528692987</v>
      </c>
      <c r="M37" s="345">
        <f t="shared" si="31"/>
        <v>1080002.5531092</v>
      </c>
      <c r="N37" s="311" t="s">
        <v>6827</v>
      </c>
      <c r="O37" s="533">
        <v>14635</v>
      </c>
      <c r="P37" s="560"/>
      <c r="Q37" s="302">
        <v>6582</v>
      </c>
      <c r="R37" s="302">
        <v>0</v>
      </c>
      <c r="S37" s="560" t="s">
        <v>4716</v>
      </c>
    </row>
    <row r="38" spans="1:22" ht="21">
      <c r="A38" s="229" t="s">
        <v>7056</v>
      </c>
      <c r="B38" s="225" t="s">
        <v>4134</v>
      </c>
      <c r="C38" s="224">
        <v>1870</v>
      </c>
      <c r="D38" s="302">
        <f>51.79*G38/24</f>
        <v>56.105833333333329</v>
      </c>
      <c r="E38" s="577" t="s">
        <v>7045</v>
      </c>
      <c r="F38" s="578">
        <v>20</v>
      </c>
      <c r="G38" s="579">
        <v>26</v>
      </c>
      <c r="H38" s="302">
        <f t="shared" ref="H38:H39" si="69">C38*D38*0.9912/G38</f>
        <v>3999.7934899999996</v>
      </c>
      <c r="I38" s="555">
        <f t="shared" ref="I38" si="70">(F38+G38)*H38</f>
        <v>183990.50053999998</v>
      </c>
      <c r="J38" s="438">
        <f>(I38-H38*$O$18)/($O$32*1.003631981)</f>
        <v>58.275889393004235</v>
      </c>
      <c r="K38" s="439">
        <f t="shared" ref="K38" si="71">(J38-D38)*100/D38</f>
        <v>3.8677904430690311</v>
      </c>
      <c r="L38" s="495">
        <f t="shared" ref="L38" si="72">D38*K38/100</f>
        <v>2.1700560596709053</v>
      </c>
      <c r="M38" s="345">
        <f t="shared" si="31"/>
        <v>183990.50053999998</v>
      </c>
      <c r="N38" s="313" t="s">
        <v>4716</v>
      </c>
      <c r="O38" s="313">
        <v>16398</v>
      </c>
      <c r="P38" s="560"/>
      <c r="Q38" s="302">
        <v>818296</v>
      </c>
      <c r="R38" s="302">
        <v>4203986</v>
      </c>
      <c r="S38" s="560" t="s">
        <v>4134</v>
      </c>
      <c r="U38" s="356"/>
      <c r="V38" s="454"/>
    </row>
    <row r="39" spans="1:22" ht="21">
      <c r="A39" s="229" t="s">
        <v>7059</v>
      </c>
      <c r="B39" s="225" t="s">
        <v>4134</v>
      </c>
      <c r="C39" s="224">
        <v>2083</v>
      </c>
      <c r="D39" s="302">
        <f>895.06*G39/24</f>
        <v>969.6483333333332</v>
      </c>
      <c r="E39" s="577" t="s">
        <v>7045</v>
      </c>
      <c r="F39" s="578">
        <v>17.399999999999999</v>
      </c>
      <c r="G39" s="579">
        <v>26</v>
      </c>
      <c r="H39" s="302">
        <f t="shared" si="69"/>
        <v>77000.132173999984</v>
      </c>
      <c r="I39" s="555">
        <f>(F39+G39)*H39</f>
        <v>3341805.736351599</v>
      </c>
      <c r="J39" s="438">
        <f>(I39-H39*$O$18)/($O$32*1.003631981)</f>
        <v>1027.7783332166393</v>
      </c>
      <c r="K39" s="439">
        <f t="shared" ref="K39" si="73">(J39-D39)*100/D39</f>
        <v>5.9949569225240911</v>
      </c>
      <c r="L39" s="495">
        <f t="shared" ref="L39" si="74">D39*K39/100</f>
        <v>58.129999883306134</v>
      </c>
      <c r="M39" s="345">
        <f t="shared" ref="M39" si="75">(F39+G39)*H39</f>
        <v>3341805.736351599</v>
      </c>
      <c r="N39" s="313" t="s">
        <v>6830</v>
      </c>
      <c r="O39" s="313">
        <v>15500</v>
      </c>
      <c r="P39" s="560"/>
      <c r="Q39" s="302"/>
      <c r="R39" s="302"/>
      <c r="S39" s="560"/>
      <c r="U39" s="356"/>
      <c r="V39" s="454"/>
    </row>
    <row r="40" spans="1:22" ht="18.75">
      <c r="A40" s="592" t="s">
        <v>7060</v>
      </c>
      <c r="B40" s="225" t="s">
        <v>4134</v>
      </c>
      <c r="C40" s="224">
        <v>2096</v>
      </c>
      <c r="D40" s="302">
        <f>135646.94*G40/26</f>
        <v>135646.94</v>
      </c>
      <c r="E40" s="577" t="s">
        <v>7045</v>
      </c>
      <c r="F40" s="578">
        <v>15</v>
      </c>
      <c r="G40" s="579">
        <v>26</v>
      </c>
      <c r="H40" s="302">
        <f t="shared" ref="H40" si="76">C40*D40*0.9912/G40</f>
        <v>10839000.213888001</v>
      </c>
      <c r="I40" s="555">
        <f>(F40+G40)*H40</f>
        <v>444399008.76940805</v>
      </c>
      <c r="J40" s="438">
        <f>(I40-H40*$O$18)/($O$32*1.003631981)</f>
        <v>132450.0785299571</v>
      </c>
      <c r="K40" s="439">
        <f t="shared" ref="K40" si="77">(J40-D40)*100/D40</f>
        <v>-2.3567516304038283</v>
      </c>
      <c r="L40" s="495">
        <f t="shared" ref="L40" si="78">D40*K40/100</f>
        <v>-3196.8614700429025</v>
      </c>
      <c r="M40" s="345">
        <f t="shared" ref="M40" si="79">(F40+G40)*H40</f>
        <v>444399008.76940805</v>
      </c>
      <c r="Q40" s="302">
        <v>169457</v>
      </c>
      <c r="R40" s="302">
        <v>2357179</v>
      </c>
      <c r="U40" s="356"/>
      <c r="V40" s="454"/>
    </row>
    <row r="41" spans="1:22" ht="18.75" customHeight="1">
      <c r="A41" s="229" t="s">
        <v>7048</v>
      </c>
      <c r="B41" s="225" t="s">
        <v>4134</v>
      </c>
      <c r="C41" s="224">
        <v>1818</v>
      </c>
      <c r="D41" s="302">
        <f>1598.223*G41/24</f>
        <v>1731.4082499999997</v>
      </c>
      <c r="E41" s="340" t="s">
        <v>7046</v>
      </c>
      <c r="F41" s="469">
        <v>39</v>
      </c>
      <c r="G41" s="330">
        <v>26</v>
      </c>
      <c r="H41" s="302">
        <f t="shared" si="64"/>
        <v>120000.01679819998</v>
      </c>
      <c r="I41" s="555">
        <f t="shared" si="28"/>
        <v>7800001.0918829991</v>
      </c>
      <c r="J41" s="438">
        <f>(I41-H41*$O$17)/($O$32*1.003631981)</f>
        <v>1635.5693071013866</v>
      </c>
      <c r="K41" s="439">
        <f t="shared" si="65"/>
        <v>-5.5353174445491495</v>
      </c>
      <c r="L41" s="495">
        <f t="shared" si="30"/>
        <v>-95.838942898613126</v>
      </c>
      <c r="M41" s="345">
        <f t="shared" si="31"/>
        <v>7800001.0918829991</v>
      </c>
      <c r="R41" s="356" t="s">
        <v>25</v>
      </c>
      <c r="S41" s="356"/>
      <c r="T41" s="356"/>
      <c r="U41" s="356"/>
      <c r="V41" s="454"/>
    </row>
    <row r="42" spans="1:22" ht="21.75" customHeight="1">
      <c r="A42" s="229" t="s">
        <v>7050</v>
      </c>
      <c r="B42" s="225" t="s">
        <v>4134</v>
      </c>
      <c r="C42" s="224">
        <v>1806</v>
      </c>
      <c r="D42" s="302">
        <f>268.141*G42/24</f>
        <v>290.48608333333334</v>
      </c>
      <c r="E42" s="340" t="s">
        <v>7046</v>
      </c>
      <c r="F42" s="469">
        <v>36</v>
      </c>
      <c r="G42" s="330">
        <v>26</v>
      </c>
      <c r="H42" s="302">
        <f t="shared" ref="H42:H44" si="80">C42*D42*0.9912/G42</f>
        <v>20000.047279800001</v>
      </c>
      <c r="I42" s="555">
        <f t="shared" ref="I42:I44" si="81">(F42+G42)*H42</f>
        <v>1240002.9313476</v>
      </c>
      <c r="J42" s="438">
        <f>(I42-H42*$O$17)/($O$32*1.003631981)</f>
        <v>244.39595724135086</v>
      </c>
      <c r="K42" s="439">
        <f t="shared" ref="K42" si="82">(J42-D42)*100/D42</f>
        <v>-15.866552215891863</v>
      </c>
      <c r="L42" s="495">
        <f t="shared" si="30"/>
        <v>-46.090126091982484</v>
      </c>
      <c r="M42" s="345">
        <f t="shared" si="31"/>
        <v>1240002.9313476</v>
      </c>
      <c r="N42" s="561" t="s">
        <v>25</v>
      </c>
      <c r="O42" s="561"/>
      <c r="P42" s="302">
        <f>Q38+R38-R40-Q40</f>
        <v>2495646</v>
      </c>
      <c r="Q42" s="302">
        <f>SUM(D17:D53)</f>
        <v>1988451.4955469605</v>
      </c>
      <c r="R42" s="356"/>
      <c r="S42" s="356"/>
      <c r="V42" s="454"/>
    </row>
    <row r="43" spans="1:22" ht="18.75">
      <c r="A43" s="229" t="s">
        <v>7056</v>
      </c>
      <c r="B43" s="225" t="s">
        <v>4134</v>
      </c>
      <c r="C43" s="224">
        <v>1870</v>
      </c>
      <c r="D43" s="302">
        <f>233.065*G43/24</f>
        <v>252.48708333333332</v>
      </c>
      <c r="E43" s="340" t="s">
        <v>7046</v>
      </c>
      <c r="F43" s="469">
        <v>27</v>
      </c>
      <c r="G43" s="330">
        <v>26</v>
      </c>
      <c r="H43" s="302">
        <f t="shared" si="80"/>
        <v>17999.843014999999</v>
      </c>
      <c r="I43" s="555">
        <f t="shared" si="81"/>
        <v>953991.67979499989</v>
      </c>
      <c r="J43" s="438">
        <f>(I43-H43*$O$17)/($O$32*1.003631981)</f>
        <v>143.81602672297495</v>
      </c>
      <c r="K43" s="439">
        <f t="shared" ref="K43" si="83">(J43-D43)*100/D43</f>
        <v>-43.040243950575039</v>
      </c>
      <c r="L43" s="495">
        <f t="shared" ref="L43" si="84">D43*K43/100</f>
        <v>-108.67105661035835</v>
      </c>
      <c r="M43" s="345">
        <f t="shared" si="31"/>
        <v>953991.67979499989</v>
      </c>
      <c r="N43" s="561"/>
      <c r="O43" s="561"/>
      <c r="P43" s="302"/>
      <c r="Q43" s="302">
        <f>P42-Q42</f>
        <v>507194.5044530395</v>
      </c>
      <c r="R43" s="356"/>
      <c r="S43" s="356"/>
      <c r="V43" s="454" t="s">
        <v>25</v>
      </c>
    </row>
    <row r="44" spans="1:22" ht="18.75" customHeight="1">
      <c r="A44" s="229" t="s">
        <v>7059</v>
      </c>
      <c r="B44" s="225" t="s">
        <v>4134</v>
      </c>
      <c r="C44" s="224">
        <v>2083</v>
      </c>
      <c r="D44" s="302">
        <f>476.59*G44/24</f>
        <v>516.30583333333334</v>
      </c>
      <c r="E44" s="340" t="s">
        <v>7046</v>
      </c>
      <c r="F44" s="469">
        <v>23.7</v>
      </c>
      <c r="G44" s="330">
        <v>26</v>
      </c>
      <c r="H44" s="302">
        <f t="shared" si="80"/>
        <v>41000.036861</v>
      </c>
      <c r="I44" s="555">
        <f t="shared" si="81"/>
        <v>2037701.8319917002</v>
      </c>
      <c r="J44" s="438">
        <f>(I44-H44*$O$17)/($O$32*1.003631981)</f>
        <v>263.99424630750002</v>
      </c>
      <c r="K44" s="439">
        <f t="shared" ref="K44" si="85">(J44-D44)*100/D44</f>
        <v>-48.868629935261239</v>
      </c>
      <c r="L44" s="495">
        <f t="shared" ref="L44" si="86">D44*K44/100</f>
        <v>-252.31158702583332</v>
      </c>
      <c r="M44" s="345">
        <f t="shared" ref="M44" si="87">(F44+G44)*H44</f>
        <v>2037701.8319917002</v>
      </c>
      <c r="N44" s="561"/>
      <c r="O44" s="561"/>
      <c r="P44" s="561"/>
      <c r="Q44" s="561"/>
      <c r="R44" s="356"/>
      <c r="S44" s="356"/>
      <c r="V44" s="454"/>
    </row>
    <row r="45" spans="1:22" ht="20.25" customHeight="1">
      <c r="A45" s="592" t="s">
        <v>7060</v>
      </c>
      <c r="B45" s="225" t="s">
        <v>4134</v>
      </c>
      <c r="C45" s="224">
        <v>2096</v>
      </c>
      <c r="D45" s="302">
        <f>825.97*G45/26</f>
        <v>825.97</v>
      </c>
      <c r="E45" s="340" t="s">
        <v>7046</v>
      </c>
      <c r="F45" s="469">
        <v>23.3</v>
      </c>
      <c r="G45" s="330">
        <v>26</v>
      </c>
      <c r="H45" s="302">
        <f t="shared" ref="H45" si="88">C45*D45*0.9912/G45</f>
        <v>65999.933405538468</v>
      </c>
      <c r="I45" s="555">
        <f t="shared" ref="I45" si="89">(F45+G45)*H45</f>
        <v>3253796.7168930462</v>
      </c>
      <c r="J45" s="438">
        <f>(I45-H45*$O$17)/($O$32*1.003631981)</f>
        <v>412.55778395484998</v>
      </c>
      <c r="K45" s="439">
        <f t="shared" ref="K45" si="90">(J45-D45)*100/D45</f>
        <v>-50.051722949398894</v>
      </c>
      <c r="L45" s="495">
        <f t="shared" ref="L45" si="91">D45*K45/100</f>
        <v>-413.41221604515005</v>
      </c>
      <c r="M45" s="345">
        <f t="shared" ref="M45" si="92">(F45+G45)*H45</f>
        <v>3253796.7168930462</v>
      </c>
      <c r="N45" s="561"/>
      <c r="O45" s="561" t="s">
        <v>25</v>
      </c>
      <c r="P45" s="561"/>
      <c r="Q45" s="561"/>
      <c r="R45" s="356"/>
      <c r="S45" s="356"/>
      <c r="T45" s="336"/>
      <c r="V45" s="454"/>
    </row>
    <row r="46" spans="1:22" ht="18.75">
      <c r="A46" s="229" t="s">
        <v>7048</v>
      </c>
      <c r="B46" s="225" t="s">
        <v>4134</v>
      </c>
      <c r="C46" s="224">
        <v>1818</v>
      </c>
      <c r="D46" s="302">
        <f>799.112*G46/24</f>
        <v>865.70466666666664</v>
      </c>
      <c r="E46" s="250" t="s">
        <v>7047</v>
      </c>
      <c r="F46" s="333">
        <v>45</v>
      </c>
      <c r="G46" s="318">
        <v>26</v>
      </c>
      <c r="H46" s="302">
        <f t="shared" si="64"/>
        <v>60000.045940799995</v>
      </c>
      <c r="I46" s="555">
        <f t="shared" si="28"/>
        <v>4260003.2617967995</v>
      </c>
      <c r="J46" s="438">
        <f>(I46-H46*$O$16)/($O$32*1.003631981)</f>
        <v>761.38618832167379</v>
      </c>
      <c r="K46" s="439">
        <f t="shared" si="65"/>
        <v>-12.050123138028541</v>
      </c>
      <c r="L46" s="495">
        <f t="shared" si="30"/>
        <v>-104.31847834499285</v>
      </c>
      <c r="M46" s="345">
        <f t="shared" si="31"/>
        <v>4260003.2617967995</v>
      </c>
      <c r="N46" s="561"/>
      <c r="O46" s="561"/>
      <c r="P46" s="561"/>
      <c r="Q46" s="561"/>
      <c r="R46" s="356"/>
      <c r="S46" s="356"/>
      <c r="T46" s="356"/>
      <c r="U46" s="356"/>
      <c r="V46" s="454"/>
    </row>
    <row r="47" spans="1:22" ht="18.75">
      <c r="A47" s="229" t="s">
        <v>7050</v>
      </c>
      <c r="B47" s="225" t="s">
        <v>4134</v>
      </c>
      <c r="C47" s="224">
        <v>1806</v>
      </c>
      <c r="D47" s="302">
        <f>201.106*G47/24</f>
        <v>217.86483333333331</v>
      </c>
      <c r="E47" s="250" t="s">
        <v>7047</v>
      </c>
      <c r="F47" s="333">
        <v>44</v>
      </c>
      <c r="G47" s="318">
        <v>26</v>
      </c>
      <c r="H47" s="302">
        <f t="shared" ref="H47:H50" si="93">C47*D47*0.9912/G47</f>
        <v>15000.054106799998</v>
      </c>
      <c r="I47" s="555">
        <f t="shared" ref="I47:I50" si="94">(F47+G47)*H47</f>
        <v>1050003.7874759999</v>
      </c>
      <c r="J47" s="438">
        <f>(I47-H47*$O$16)/($O$32*1.003631981)</f>
        <v>183.29719579243422</v>
      </c>
      <c r="K47" s="439">
        <f t="shared" ref="K47:K50" si="95">(J47-D47)*100/D47</f>
        <v>-15.866552215891852</v>
      </c>
      <c r="L47" s="495">
        <f t="shared" si="30"/>
        <v>-34.567637540899085</v>
      </c>
      <c r="M47" s="345">
        <f t="shared" si="31"/>
        <v>1050003.7874759999</v>
      </c>
      <c r="N47" s="561" t="s">
        <v>25</v>
      </c>
      <c r="O47" s="561" t="s">
        <v>25</v>
      </c>
      <c r="P47" s="561"/>
      <c r="Q47" s="561"/>
      <c r="R47" s="356"/>
      <c r="S47" s="356"/>
      <c r="V47" s="454"/>
    </row>
    <row r="48" spans="1:22" ht="18.75">
      <c r="A48" s="229" t="s">
        <v>7059</v>
      </c>
      <c r="B48" s="225" t="s">
        <v>4134</v>
      </c>
      <c r="C48" s="224">
        <v>2083</v>
      </c>
      <c r="D48" s="302">
        <f>557.96*G48/24</f>
        <v>604.45666666666671</v>
      </c>
      <c r="E48" s="250" t="s">
        <v>7047</v>
      </c>
      <c r="F48" s="333">
        <v>31.6</v>
      </c>
      <c r="G48" s="318">
        <v>26</v>
      </c>
      <c r="H48" s="302">
        <f t="shared" si="93"/>
        <v>48000.127084</v>
      </c>
      <c r="I48" s="555">
        <f t="shared" si="94"/>
        <v>2764807.3200384001</v>
      </c>
      <c r="J48" s="438">
        <f>(I48-H48*$O$16)/($O$32*1.003631981)</f>
        <v>306.81101179231536</v>
      </c>
      <c r="K48" s="439">
        <f t="shared" ref="K48" si="96">(J48-D48)*100/D48</f>
        <v>-49.241851614565917</v>
      </c>
      <c r="L48" s="495">
        <f t="shared" ref="L48" si="97">D48*K48/100</f>
        <v>-297.64565487435135</v>
      </c>
      <c r="M48" s="345">
        <f t="shared" ref="M48" si="98">(F48+G48)*H48</f>
        <v>2764807.3200384001</v>
      </c>
      <c r="N48" s="552"/>
      <c r="O48" s="552" t="s">
        <v>25</v>
      </c>
      <c r="P48" s="552"/>
      <c r="Q48" s="552" t="s">
        <v>25</v>
      </c>
      <c r="R48" s="356"/>
      <c r="S48" s="356"/>
      <c r="V48" s="454"/>
    </row>
    <row r="49" spans="1:33" ht="18.75">
      <c r="A49" s="592" t="s">
        <v>7060</v>
      </c>
      <c r="B49" s="225" t="s">
        <v>4134</v>
      </c>
      <c r="C49" s="224">
        <v>2096</v>
      </c>
      <c r="D49" s="302">
        <f>500.59*G49/26</f>
        <v>500.59000000000003</v>
      </c>
      <c r="E49" s="250" t="s">
        <v>7047</v>
      </c>
      <c r="F49" s="333">
        <v>30.2</v>
      </c>
      <c r="G49" s="318">
        <v>26</v>
      </c>
      <c r="H49" s="302">
        <f t="shared" ref="H49" si="99">C49*D49*0.9912/G49</f>
        <v>40000.129137230775</v>
      </c>
      <c r="I49" s="555">
        <f t="shared" ref="I49" si="100">(F49+G49)*H49</f>
        <v>2248007.2575123697</v>
      </c>
      <c r="J49" s="438">
        <f>(I49-H49*$O$16)/($O$32*1.003631981)</f>
        <v>229.35640429088514</v>
      </c>
      <c r="K49" s="439">
        <f t="shared" ref="K49" si="101">(J49-D49)*100/D49</f>
        <v>-54.182783457343305</v>
      </c>
      <c r="L49" s="495">
        <f t="shared" ref="L49" si="102">D49*K49/100</f>
        <v>-271.23359570911487</v>
      </c>
      <c r="M49" s="345">
        <f t="shared" ref="M49" si="103">(F49+G49)*H49</f>
        <v>2248007.2575123697</v>
      </c>
      <c r="N49" s="585"/>
      <c r="O49" s="585" t="s">
        <v>25</v>
      </c>
      <c r="P49" s="585"/>
      <c r="Q49" s="585"/>
      <c r="R49" s="356"/>
      <c r="S49" s="356"/>
    </row>
    <row r="50" spans="1:33" ht="25.5" customHeight="1">
      <c r="A50" s="229" t="s">
        <v>7050</v>
      </c>
      <c r="B50" s="225" t="s">
        <v>4134</v>
      </c>
      <c r="C50" s="224">
        <v>1806</v>
      </c>
      <c r="D50" s="302">
        <f>134.071*G50/24</f>
        <v>145.24358333333333</v>
      </c>
      <c r="E50" s="436" t="s">
        <v>7049</v>
      </c>
      <c r="F50" s="437">
        <v>53</v>
      </c>
      <c r="G50" s="484">
        <v>26</v>
      </c>
      <c r="H50" s="302">
        <f t="shared" si="93"/>
        <v>10000.060933799999</v>
      </c>
      <c r="I50" s="555">
        <f t="shared" si="94"/>
        <v>790004.81377020001</v>
      </c>
      <c r="J50" s="438">
        <f>(I50-H50*$O$15)/($O$32*1.003631981)</f>
        <v>122.19843434351763</v>
      </c>
      <c r="K50" s="439">
        <f t="shared" si="95"/>
        <v>-15.866552215891835</v>
      </c>
      <c r="L50" s="495">
        <f t="shared" si="30"/>
        <v>-23.045148989815701</v>
      </c>
      <c r="M50" s="345">
        <f t="shared" si="31"/>
        <v>790004.81377020001</v>
      </c>
      <c r="N50" s="585"/>
      <c r="O50" s="585"/>
      <c r="P50" s="585"/>
      <c r="Q50" s="585"/>
      <c r="R50" s="356"/>
      <c r="S50" s="356"/>
    </row>
    <row r="51" spans="1:33" ht="18.75">
      <c r="A51" s="229" t="s">
        <v>7056</v>
      </c>
      <c r="B51" s="225" t="s">
        <v>4134</v>
      </c>
      <c r="C51" s="224">
        <v>1870</v>
      </c>
      <c r="D51" s="302">
        <f>168.32*G51/24</f>
        <v>182.34666666666666</v>
      </c>
      <c r="E51" s="436" t="s">
        <v>7049</v>
      </c>
      <c r="F51" s="437">
        <v>41</v>
      </c>
      <c r="G51" s="484">
        <v>26</v>
      </c>
      <c r="H51" s="302">
        <f t="shared" ref="H51:H52" si="104">C51*D51*0.9912/G51</f>
        <v>12999.521919999999</v>
      </c>
      <c r="I51" s="555">
        <f t="shared" ref="I51:I52" si="105">(F51+G51)*H51</f>
        <v>870967.96863999998</v>
      </c>
      <c r="J51" s="438">
        <f>(I51-H51*$O$15)/($O$32*1.003631981)</f>
        <v>85.535237115663548</v>
      </c>
      <c r="K51" s="439">
        <f t="shared" ref="K51" si="106">(J51-D51)*100/D51</f>
        <v>-53.091965606355906</v>
      </c>
      <c r="L51" s="495">
        <f t="shared" ref="L51" si="107">D51*K51/100</f>
        <v>-96.811429551003116</v>
      </c>
      <c r="M51" s="345">
        <f t="shared" si="31"/>
        <v>870967.96863999998</v>
      </c>
      <c r="N51" s="591"/>
      <c r="O51" s="591"/>
      <c r="P51" s="591"/>
      <c r="Q51" s="591"/>
      <c r="R51" s="356"/>
      <c r="S51" s="356"/>
    </row>
    <row r="52" spans="1:33" ht="23.25" customHeight="1">
      <c r="A52" s="229" t="s">
        <v>7059</v>
      </c>
      <c r="B52" s="225" t="s">
        <v>4134</v>
      </c>
      <c r="C52" s="224">
        <v>2083</v>
      </c>
      <c r="D52" s="302">
        <f>209.24*G52/24</f>
        <v>226.67666666666665</v>
      </c>
      <c r="E52" s="436" t="s">
        <v>7049</v>
      </c>
      <c r="F52" s="437">
        <v>38</v>
      </c>
      <c r="G52" s="484">
        <v>26</v>
      </c>
      <c r="H52" s="302">
        <f t="shared" si="104"/>
        <v>18000.477795999999</v>
      </c>
      <c r="I52" s="555">
        <f t="shared" si="105"/>
        <v>1152030.5789439999</v>
      </c>
      <c r="J52" s="438">
        <f>(I52-H52*$O$15)/($O$32*1.003631981)</f>
        <v>93.060710811768146</v>
      </c>
      <c r="K52" s="439">
        <f t="shared" ref="K52" si="108">(J52-D52)*100/D52</f>
        <v>-58.945615276487153</v>
      </c>
      <c r="L52" s="495">
        <f t="shared" ref="L52" si="109">D52*K52/100</f>
        <v>-133.61595585489852</v>
      </c>
      <c r="M52" s="345">
        <f t="shared" ref="M52" si="110">(F52+G52)*H52</f>
        <v>1152030.5789439999</v>
      </c>
      <c r="N52" s="591"/>
      <c r="O52" s="591"/>
      <c r="P52" s="591"/>
      <c r="Q52" s="591"/>
      <c r="R52" s="356"/>
      <c r="S52" s="356"/>
    </row>
    <row r="53" spans="1:33" ht="25.5" customHeight="1">
      <c r="A53" s="592" t="s">
        <v>7060</v>
      </c>
      <c r="B53" s="225" t="s">
        <v>4134</v>
      </c>
      <c r="C53" s="224">
        <v>2096</v>
      </c>
      <c r="D53" s="302">
        <f>1439.19*G53/26</f>
        <v>1439.19</v>
      </c>
      <c r="E53" s="436" t="s">
        <v>7049</v>
      </c>
      <c r="F53" s="437">
        <v>35.700000000000003</v>
      </c>
      <c r="G53" s="484">
        <v>26</v>
      </c>
      <c r="H53" s="302">
        <f t="shared" ref="H53" si="111">C53*D53*0.9912/G53</f>
        <v>114999.87185723077</v>
      </c>
      <c r="I53" s="555">
        <f t="shared" ref="I53" si="112">(F53+G53)*H53</f>
        <v>7095492.0935911387</v>
      </c>
      <c r="J53" s="438">
        <f>(I53-H53*$O$15)/($O$32*1.003631981)</f>
        <v>470.22558600116963</v>
      </c>
      <c r="K53" s="439">
        <f t="shared" ref="K53" si="113">(J53-D53)*100/D53</f>
        <v>-67.327066891712036</v>
      </c>
      <c r="L53" s="495">
        <f t="shared" ref="L53" si="114">D53*K53/100</f>
        <v>-968.96441399883042</v>
      </c>
      <c r="M53" s="345">
        <f t="shared" ref="M53" si="115">(F53+G53)*H53</f>
        <v>7095492.0935911387</v>
      </c>
      <c r="N53" s="591"/>
      <c r="O53" s="591"/>
      <c r="P53" s="591"/>
      <c r="Q53" s="591"/>
      <c r="R53" s="356"/>
      <c r="S53" s="356"/>
    </row>
    <row r="54" spans="1:33" ht="18.75">
      <c r="A54" s="229"/>
      <c r="B54" s="225"/>
      <c r="C54" s="224"/>
      <c r="D54" s="302"/>
      <c r="E54" s="436"/>
      <c r="F54" s="437"/>
      <c r="G54" s="484"/>
      <c r="H54" s="438"/>
      <c r="I54" s="438"/>
      <c r="J54" s="438"/>
      <c r="K54" s="439"/>
      <c r="L54" s="495"/>
      <c r="M54" s="535"/>
      <c r="N54" s="591"/>
      <c r="O54" s="591"/>
      <c r="P54" s="591"/>
      <c r="Q54" s="591"/>
      <c r="R54" s="356"/>
      <c r="S54" s="356"/>
    </row>
    <row r="55" spans="1:33" ht="18.75">
      <c r="A55" s="229" t="s">
        <v>25</v>
      </c>
      <c r="B55" s="225"/>
      <c r="C55" s="224"/>
      <c r="D55" s="302"/>
      <c r="E55" s="436"/>
      <c r="F55" s="437"/>
      <c r="G55" s="484"/>
      <c r="H55" s="438"/>
      <c r="I55" s="483"/>
      <c r="J55" s="438"/>
      <c r="K55" s="439"/>
      <c r="L55" s="495"/>
      <c r="M55" s="535"/>
      <c r="N55" s="591"/>
      <c r="O55" s="591"/>
      <c r="P55" s="591"/>
      <c r="Q55" s="591"/>
      <c r="R55" s="356"/>
      <c r="S55" s="356"/>
    </row>
    <row r="56" spans="1:33" ht="21" customHeight="1">
      <c r="A56" s="229" t="s">
        <v>7022</v>
      </c>
      <c r="B56" s="225" t="s">
        <v>4134</v>
      </c>
      <c r="C56" s="224">
        <v>2149</v>
      </c>
      <c r="D56" s="302">
        <v>1</v>
      </c>
      <c r="E56" s="543" t="s">
        <v>6908</v>
      </c>
      <c r="F56" s="544">
        <v>2066.1</v>
      </c>
      <c r="G56" s="545">
        <f>C56*D56*0.9912/(F56*1.00115)</f>
        <v>1.0297865600341516</v>
      </c>
      <c r="H56" s="546">
        <f>C56/F56</f>
        <v>1.0401239049416775</v>
      </c>
      <c r="I56" s="547">
        <f>$O$32/$O$29</f>
        <v>1.2204951065054692</v>
      </c>
      <c r="J56" s="546">
        <f>I56/H56</f>
        <v>1.1734131873201257</v>
      </c>
      <c r="K56" s="439">
        <f>(1/J56-1.0152)*100</f>
        <v>-16.298527222467285</v>
      </c>
      <c r="L56" s="495"/>
      <c r="M56" s="535"/>
      <c r="N56" s="591"/>
      <c r="O56" s="591"/>
      <c r="P56" s="591"/>
      <c r="Q56" s="591"/>
      <c r="R56" s="356"/>
      <c r="S56" s="356"/>
    </row>
    <row r="57" spans="1:33" ht="19.5" customHeight="1">
      <c r="A57" s="229"/>
      <c r="B57" s="225"/>
      <c r="C57" s="224"/>
      <c r="D57" s="302"/>
      <c r="E57" s="543"/>
      <c r="F57" s="544"/>
      <c r="G57" s="545"/>
      <c r="H57" s="546"/>
      <c r="I57" s="547"/>
      <c r="J57" s="546"/>
      <c r="K57" s="439"/>
      <c r="L57" s="495"/>
      <c r="M57" s="535"/>
      <c r="N57" s="591"/>
      <c r="O57" s="591"/>
      <c r="P57" s="591"/>
      <c r="Q57" s="591"/>
      <c r="R57" s="356"/>
      <c r="S57" s="356"/>
      <c r="AC57" s="351"/>
      <c r="AD57" s="351"/>
      <c r="AE57" s="351"/>
      <c r="AF57" s="351"/>
      <c r="AG57" s="351"/>
    </row>
    <row r="58" spans="1:33" ht="20.25" customHeight="1">
      <c r="A58" s="229"/>
      <c r="B58" s="225"/>
      <c r="C58" s="224"/>
      <c r="D58" s="302"/>
      <c r="E58" s="543"/>
      <c r="F58" s="544"/>
      <c r="G58" s="545"/>
      <c r="H58" s="546"/>
      <c r="I58" s="547"/>
      <c r="J58" s="546"/>
      <c r="K58" s="439"/>
      <c r="L58" s="495" t="s">
        <v>25</v>
      </c>
      <c r="M58" s="535"/>
      <c r="N58" s="585" t="s">
        <v>25</v>
      </c>
      <c r="O58" s="585"/>
      <c r="P58" s="585"/>
      <c r="Q58" s="585"/>
      <c r="R58" s="356"/>
      <c r="S58" s="356"/>
      <c r="Z58" s="454"/>
      <c r="AC58" s="351"/>
      <c r="AD58" s="351"/>
      <c r="AE58" s="351"/>
      <c r="AF58" s="351"/>
      <c r="AG58" s="351"/>
    </row>
    <row r="59" spans="1:33" ht="18.75">
      <c r="A59" s="229"/>
      <c r="B59" s="225"/>
      <c r="C59" s="224"/>
      <c r="D59" s="302"/>
      <c r="E59" s="543"/>
      <c r="F59" s="544"/>
      <c r="G59" s="545"/>
      <c r="H59" s="546"/>
      <c r="I59" s="547"/>
      <c r="J59" s="546"/>
      <c r="K59" s="439"/>
      <c r="L59" s="495"/>
      <c r="M59" s="535"/>
      <c r="N59" t="s">
        <v>25</v>
      </c>
      <c r="Z59" s="454"/>
      <c r="AC59" s="351"/>
      <c r="AD59" s="351"/>
      <c r="AE59" s="351"/>
      <c r="AF59" s="351"/>
      <c r="AG59" s="351"/>
    </row>
    <row r="60" spans="1:33" ht="18.75">
      <c r="A60" s="229"/>
      <c r="B60" s="225"/>
      <c r="C60" s="224"/>
      <c r="D60" s="302"/>
      <c r="E60" s="543"/>
      <c r="F60" s="544"/>
      <c r="G60" s="545"/>
      <c r="H60" s="546"/>
      <c r="I60" s="547"/>
      <c r="J60" s="546"/>
      <c r="K60" s="439"/>
      <c r="L60" s="495"/>
      <c r="M60" s="535"/>
      <c r="N60" s="586"/>
      <c r="O60" s="586"/>
      <c r="P60" s="586"/>
      <c r="Q60" s="586"/>
      <c r="R60" s="586"/>
      <c r="S60" s="586"/>
      <c r="Z60" s="454"/>
      <c r="AC60" s="351"/>
      <c r="AD60" s="351"/>
      <c r="AE60" s="351"/>
      <c r="AF60" s="351"/>
      <c r="AG60" s="351"/>
    </row>
    <row r="61" spans="1:33" ht="18.75">
      <c r="A61" s="229"/>
      <c r="B61" s="225"/>
      <c r="C61" s="224"/>
      <c r="D61" s="302"/>
      <c r="E61" s="543"/>
      <c r="F61" s="544"/>
      <c r="G61" s="545"/>
      <c r="H61" s="546"/>
      <c r="I61" s="547"/>
      <c r="J61" s="546"/>
      <c r="K61" s="439"/>
      <c r="L61" s="495"/>
      <c r="M61" s="535"/>
      <c r="N61" s="560"/>
      <c r="O61" s="560"/>
      <c r="P61" s="560"/>
      <c r="Q61" s="560"/>
      <c r="R61" s="560"/>
      <c r="S61" s="560"/>
      <c r="Z61" s="454"/>
      <c r="AC61" s="351"/>
      <c r="AD61" s="351"/>
      <c r="AE61" s="351"/>
      <c r="AF61" s="351"/>
      <c r="AG61" s="351"/>
    </row>
    <row r="62" spans="1:33" ht="24" customHeight="1">
      <c r="A62" s="229"/>
      <c r="B62" s="225"/>
      <c r="C62" s="224"/>
      <c r="D62" s="302"/>
      <c r="E62" s="543"/>
      <c r="F62" s="544" t="s">
        <v>25</v>
      </c>
      <c r="G62" s="545"/>
      <c r="H62" s="546"/>
      <c r="I62" s="547"/>
      <c r="J62" s="546"/>
      <c r="K62" s="439"/>
      <c r="L62" s="495"/>
      <c r="M62" s="535"/>
      <c r="N62" s="560"/>
      <c r="O62" s="560"/>
      <c r="P62" s="560"/>
      <c r="Q62" s="560"/>
      <c r="R62" s="560"/>
      <c r="S62" s="560"/>
      <c r="Z62" s="454"/>
      <c r="AC62" s="351"/>
      <c r="AD62" s="351"/>
      <c r="AE62" s="351"/>
      <c r="AF62" s="351"/>
      <c r="AG62" s="351"/>
    </row>
    <row r="63" spans="1:33" ht="15.75">
      <c r="A63" s="500"/>
      <c r="B63" s="501"/>
      <c r="C63" s="502"/>
      <c r="D63" s="370"/>
      <c r="E63" s="430"/>
      <c r="F63" s="513" t="s">
        <v>6922</v>
      </c>
      <c r="G63" s="513"/>
      <c r="H63" s="513" t="s">
        <v>6923</v>
      </c>
      <c r="I63" s="470" t="s">
        <v>6924</v>
      </c>
      <c r="J63" s="430" t="s">
        <v>6925</v>
      </c>
      <c r="K63" s="514" t="s">
        <v>6926</v>
      </c>
      <c r="L63" s="430" t="s">
        <v>6927</v>
      </c>
      <c r="M63" s="515" t="s">
        <v>6928</v>
      </c>
      <c r="P63" s="366"/>
      <c r="Q63" s="366"/>
      <c r="R63" s="534"/>
      <c r="S63" s="534"/>
      <c r="Z63" s="454"/>
      <c r="AC63" s="351"/>
      <c r="AD63" s="351"/>
      <c r="AE63" s="351"/>
      <c r="AF63" s="351"/>
      <c r="AG63" s="351"/>
    </row>
    <row r="64" spans="1:33" ht="21.75" customHeight="1">
      <c r="A64" s="527" t="s">
        <v>7023</v>
      </c>
      <c r="B64" s="225" t="s">
        <v>4134</v>
      </c>
      <c r="C64" s="224">
        <v>2195</v>
      </c>
      <c r="D64" s="302">
        <v>162176</v>
      </c>
      <c r="E64" s="543" t="s">
        <v>6908</v>
      </c>
      <c r="F64" s="544">
        <v>2163</v>
      </c>
      <c r="G64" s="545" t="s">
        <v>7016</v>
      </c>
      <c r="H64" s="546">
        <v>125</v>
      </c>
      <c r="I64" s="547">
        <v>2163</v>
      </c>
      <c r="J64" s="546">
        <f t="shared" ref="J64" si="116">C64*D64*0.9912/(F64*1.00115)</f>
        <v>162939.63208329838</v>
      </c>
      <c r="K64" s="548">
        <f t="shared" ref="K64" si="117">J64*H64*0.99885/(I64*1.00115-H64*0.99885)</f>
        <v>9969.4797562148033</v>
      </c>
      <c r="L64" s="549">
        <f t="shared" ref="L64:L68" si="118">K64+J64</f>
        <v>172909.11183951318</v>
      </c>
      <c r="M64" s="548">
        <f>L64*40*1.00115/($O$29*0.99885)</f>
        <v>3990.9559163591643</v>
      </c>
      <c r="N64" s="515" t="s">
        <v>6929</v>
      </c>
      <c r="O64" s="515" t="s">
        <v>6930</v>
      </c>
      <c r="P64" s="516" t="s">
        <v>4387</v>
      </c>
      <c r="Q64" s="517" t="s">
        <v>6931</v>
      </c>
      <c r="W64" s="454"/>
      <c r="X64" s="454"/>
      <c r="Y64" s="454"/>
      <c r="Z64" s="454"/>
      <c r="AC64" s="351"/>
      <c r="AD64" s="351"/>
      <c r="AE64" s="351"/>
      <c r="AF64" s="351"/>
      <c r="AG64" s="351"/>
    </row>
    <row r="65" spans="1:35" ht="23.25">
      <c r="A65" s="527" t="s">
        <v>7025</v>
      </c>
      <c r="B65" s="225" t="s">
        <v>4134</v>
      </c>
      <c r="C65" s="224">
        <v>2055</v>
      </c>
      <c r="D65" s="302">
        <v>150385</v>
      </c>
      <c r="E65" s="543" t="s">
        <v>6908</v>
      </c>
      <c r="F65" s="544">
        <v>2047</v>
      </c>
      <c r="G65" s="545" t="s">
        <v>7016</v>
      </c>
      <c r="H65" s="546">
        <v>135</v>
      </c>
      <c r="I65" s="547">
        <v>2047</v>
      </c>
      <c r="J65" s="546">
        <f t="shared" ref="J65" si="119">C65*D65*0.9912/(F65*1.00115)</f>
        <v>149472.27525668393</v>
      </c>
      <c r="K65" s="548">
        <f t="shared" ref="K65" si="120">J65*H65*0.99885/(I65*1.00115-H65*0.99885)</f>
        <v>10527.789856606458</v>
      </c>
      <c r="L65" s="549">
        <f t="shared" si="118"/>
        <v>160000.06511329039</v>
      </c>
      <c r="M65" s="548">
        <f>L65*40*1.00115/($O$29*0.99885)</f>
        <v>3692.9991698437243</v>
      </c>
      <c r="N65" s="548">
        <f>L64-M64</f>
        <v>168918.155923154</v>
      </c>
      <c r="O65" s="548">
        <f>N65*$O$29*0.99885/($O$32*1.003631981)</f>
        <v>137741.90062654606</v>
      </c>
      <c r="P65" s="438">
        <f>O65/D64</f>
        <v>0.84933591053266855</v>
      </c>
      <c r="Q65" s="438">
        <f>100*(O65-D64)/D64</f>
        <v>-15.066408946733141</v>
      </c>
      <c r="R65" s="382" t="s">
        <v>422</v>
      </c>
      <c r="S65" s="525">
        <f>C64*D64*Q65/100</f>
        <v>-53632848.124731399</v>
      </c>
      <c r="W65" s="454"/>
      <c r="X65" s="454"/>
      <c r="Y65" s="454"/>
      <c r="Z65" s="454"/>
      <c r="AC65" s="351"/>
      <c r="AD65" s="351"/>
      <c r="AE65" s="351"/>
      <c r="AF65" s="351"/>
      <c r="AG65" s="351"/>
    </row>
    <row r="66" spans="1:35" ht="23.25">
      <c r="A66" s="527" t="s">
        <v>7013</v>
      </c>
      <c r="B66" s="503" t="s">
        <v>4134</v>
      </c>
      <c r="C66" s="504">
        <v>2672.619370349943</v>
      </c>
      <c r="D66" s="505">
        <v>2705.05</v>
      </c>
      <c r="E66" s="338" t="s">
        <v>5594</v>
      </c>
      <c r="F66" s="507">
        <v>146.16900000000001</v>
      </c>
      <c r="G66" s="507" t="s">
        <v>7014</v>
      </c>
      <c r="H66" s="507">
        <v>3</v>
      </c>
      <c r="I66" s="507">
        <v>129.5</v>
      </c>
      <c r="J66" s="508">
        <f t="shared" ref="J66" si="121">C66*D66*0.9912/(F66*1.003631981)</f>
        <v>48847.679168338589</v>
      </c>
      <c r="K66" s="508">
        <f t="shared" ref="K66" si="122">J66*H66*0.99885/(I66*1.003631981-H66*0.99885)</f>
        <v>1152.793117675388</v>
      </c>
      <c r="L66" s="530">
        <f t="shared" si="118"/>
        <v>50000.472286013974</v>
      </c>
      <c r="M66" s="508">
        <f>L66*1*1.00115/($O$31*0.9912)</f>
        <v>391.49142554591168</v>
      </c>
      <c r="N66" s="548">
        <f>L65-M65</f>
        <v>156307.06594344665</v>
      </c>
      <c r="O66" s="548">
        <f>N66*$O$29*0.99885/($O$32*1.003631981)</f>
        <v>127458.36720005325</v>
      </c>
      <c r="P66" s="438">
        <f>O66/D65</f>
        <v>0.84754707716895472</v>
      </c>
      <c r="Q66" s="438">
        <f>100*(O66-D65)/D65</f>
        <v>-15.245292283104527</v>
      </c>
      <c r="R66" s="382" t="s">
        <v>422</v>
      </c>
      <c r="S66" s="525">
        <f>C65*D65*Q66/100</f>
        <v>-47114230.403890565</v>
      </c>
      <c r="W66" s="454"/>
      <c r="X66" s="454"/>
      <c r="Y66" s="454"/>
      <c r="Z66" s="454"/>
      <c r="AC66" s="351"/>
      <c r="AD66" s="351"/>
      <c r="AE66" s="351"/>
      <c r="AF66" s="351"/>
      <c r="AG66" s="351"/>
    </row>
    <row r="67" spans="1:35" ht="25.5" customHeight="1">
      <c r="A67" s="527" t="s">
        <v>7009</v>
      </c>
      <c r="B67" s="235" t="s">
        <v>5139</v>
      </c>
      <c r="C67" s="510">
        <v>926.43799999999999</v>
      </c>
      <c r="D67" s="511">
        <v>345379</v>
      </c>
      <c r="E67" s="491" t="s">
        <v>6907</v>
      </c>
      <c r="F67" s="512">
        <v>396</v>
      </c>
      <c r="G67" s="512" t="s">
        <v>7010</v>
      </c>
      <c r="H67" s="512">
        <v>15.8</v>
      </c>
      <c r="I67" s="512">
        <v>396</v>
      </c>
      <c r="J67" s="506">
        <f t="shared" ref="J67" si="123">C67*D67*0.9912/(F67*1.003631981)</f>
        <v>798001.86022887181</v>
      </c>
      <c r="K67" s="506">
        <f t="shared" ref="K67:K68" si="124">J67*H67*0.99885/(I67*1.003631981-H67*0.99885)</f>
        <v>32998.080368032599</v>
      </c>
      <c r="L67" s="531">
        <f t="shared" si="118"/>
        <v>830999.94059690437</v>
      </c>
      <c r="M67" s="506" t="e">
        <f>L67*#REF!*1.00115/($O$30*0.9912)</f>
        <v>#REF!</v>
      </c>
      <c r="N67" s="508">
        <f>L66-M66</f>
        <v>49608.980860468058</v>
      </c>
      <c r="O67" s="508">
        <f>N67*$O$31*0.9912/($O$32*1.003631981)</f>
        <v>2981.2675720335783</v>
      </c>
      <c r="P67" s="438">
        <f>O67/D66</f>
        <v>1.1021118175388913</v>
      </c>
      <c r="Q67" s="438">
        <f>100*(O67-D66)/D66</f>
        <v>10.211181753889136</v>
      </c>
      <c r="R67" s="382" t="s">
        <v>422</v>
      </c>
      <c r="S67" s="525">
        <f>C66*D66*Q67/100</f>
        <v>738224.43344797147</v>
      </c>
      <c r="W67" s="454"/>
      <c r="X67" s="454"/>
      <c r="Y67" s="454"/>
      <c r="Z67" s="454"/>
      <c r="AC67" s="351"/>
      <c r="AD67" s="351"/>
      <c r="AE67" s="351"/>
      <c r="AF67" s="351"/>
      <c r="AG67" s="351"/>
    </row>
    <row r="68" spans="1:35" ht="23.25">
      <c r="A68" s="527" t="s">
        <v>7009</v>
      </c>
      <c r="B68" s="235" t="s">
        <v>5139</v>
      </c>
      <c r="C68" s="510">
        <v>917.25900000000001</v>
      </c>
      <c r="D68" s="511">
        <v>335592</v>
      </c>
      <c r="E68" s="475" t="s">
        <v>6907</v>
      </c>
      <c r="F68" s="509">
        <v>396</v>
      </c>
      <c r="G68" s="509" t="s">
        <v>7011</v>
      </c>
      <c r="H68" s="509">
        <v>28.3</v>
      </c>
      <c r="I68" s="509">
        <v>375.27300000000002</v>
      </c>
      <c r="J68" s="506">
        <f>C68*D68*0.9912/(F68*1.003631981)</f>
        <v>767706.46290384687</v>
      </c>
      <c r="K68" s="506">
        <f t="shared" si="124"/>
        <v>62293.537049278442</v>
      </c>
      <c r="L68" s="531">
        <f t="shared" si="118"/>
        <v>829999.99995312537</v>
      </c>
      <c r="M68" s="506" t="e">
        <f>L68*#REF!*1.00115/($O$30*0.9912)</f>
        <v>#REF!</v>
      </c>
      <c r="N68" s="506" t="e">
        <f>L67-M67</f>
        <v>#REF!</v>
      </c>
      <c r="O68" s="506" t="e">
        <f>N68*$O$30*0.9912/($O$33*1.003631981)</f>
        <v>#REF!</v>
      </c>
      <c r="P68" s="438" t="e">
        <f>O68/D67</f>
        <v>#REF!</v>
      </c>
      <c r="Q68" s="438" t="e">
        <f>100*(O68-D67)/D67</f>
        <v>#REF!</v>
      </c>
      <c r="R68" s="382" t="s">
        <v>422</v>
      </c>
      <c r="S68" s="525" t="e">
        <f>C67*D67*Q68/100</f>
        <v>#REF!</v>
      </c>
      <c r="W68" s="454"/>
      <c r="X68" s="454"/>
      <c r="Y68" s="454"/>
      <c r="Z68" s="454"/>
      <c r="AC68" s="351"/>
      <c r="AD68" s="351"/>
      <c r="AE68" s="351"/>
      <c r="AF68" s="351"/>
      <c r="AG68" s="351"/>
    </row>
    <row r="69" spans="1:35" ht="18.75">
      <c r="N69" s="506" t="e">
        <f>L68-M68</f>
        <v>#REF!</v>
      </c>
      <c r="O69" s="506" t="e">
        <f>N69*$O$30*0.9912/($O$33*1.003631981)</f>
        <v>#REF!</v>
      </c>
      <c r="P69" s="438" t="e">
        <f>O69/D68</f>
        <v>#REF!</v>
      </c>
      <c r="Q69" s="438" t="e">
        <f>100*(O69-D68)/D68</f>
        <v>#REF!</v>
      </c>
      <c r="R69" s="382" t="s">
        <v>4317</v>
      </c>
      <c r="S69" s="525" t="e">
        <f>C68*D68*Q69/100</f>
        <v>#REF!</v>
      </c>
      <c r="X69" s="454"/>
      <c r="Y69" s="454"/>
      <c r="Z69" s="454"/>
      <c r="AA69" s="454"/>
      <c r="AB69" s="454"/>
      <c r="AE69" s="351"/>
      <c r="AF69" s="351"/>
      <c r="AG69" s="351"/>
      <c r="AH69" s="351"/>
      <c r="AI69" s="351"/>
    </row>
    <row r="70" spans="1:35" ht="18.75">
      <c r="A70" s="225"/>
      <c r="B70" s="225"/>
      <c r="C70" s="224"/>
      <c r="D70" s="302"/>
      <c r="E70" s="250"/>
      <c r="F70" s="333"/>
      <c r="G70" s="318"/>
      <c r="H70" s="338"/>
      <c r="I70" s="339"/>
      <c r="J70" s="228"/>
      <c r="K70" s="228"/>
      <c r="L70" s="228"/>
      <c r="M70" s="398" t="s">
        <v>25</v>
      </c>
      <c r="X70" s="454"/>
      <c r="Y70" s="454"/>
      <c r="Z70" s="454"/>
      <c r="AA70" s="454"/>
      <c r="AB70" s="454"/>
      <c r="AE70" s="351"/>
      <c r="AF70" s="351"/>
      <c r="AG70" s="351"/>
      <c r="AH70" s="351"/>
      <c r="AI70" s="351"/>
    </row>
    <row r="71" spans="1:35" ht="18.75">
      <c r="A71" s="225"/>
      <c r="B71" s="225"/>
      <c r="C71" s="224"/>
      <c r="D71" s="302"/>
      <c r="E71" s="250"/>
      <c r="F71" s="333"/>
      <c r="G71" s="318"/>
      <c r="H71" s="338"/>
      <c r="I71" s="339"/>
      <c r="J71" s="228"/>
      <c r="K71" s="228"/>
      <c r="L71" s="228"/>
      <c r="M71" s="344" t="s">
        <v>25</v>
      </c>
      <c r="N71" s="366"/>
      <c r="O71" t="s">
        <v>25</v>
      </c>
      <c r="P71" t="s">
        <v>25</v>
      </c>
      <c r="Q71" t="s">
        <v>25</v>
      </c>
      <c r="X71" s="454"/>
      <c r="Y71" s="454"/>
      <c r="Z71" s="454"/>
      <c r="AA71" s="454"/>
      <c r="AB71" s="454"/>
      <c r="AE71" s="351"/>
      <c r="AF71" s="351"/>
      <c r="AG71" s="351"/>
      <c r="AH71" s="351"/>
      <c r="AI71" s="351"/>
    </row>
    <row r="72" spans="1:35" ht="21" customHeight="1">
      <c r="A72" s="250"/>
      <c r="B72" s="250"/>
      <c r="C72" s="333"/>
      <c r="D72" s="318"/>
      <c r="E72" s="170"/>
      <c r="F72" s="170"/>
      <c r="G72" s="170"/>
      <c r="H72" s="170"/>
      <c r="I72" s="170"/>
      <c r="J72" s="355"/>
      <c r="K72" s="369"/>
      <c r="L72" s="355"/>
      <c r="M72" s="344" t="s">
        <v>25</v>
      </c>
      <c r="N72" s="36" t="s">
        <v>25</v>
      </c>
      <c r="O72" t="s">
        <v>25</v>
      </c>
      <c r="Q72" t="s">
        <v>25</v>
      </c>
      <c r="S72" s="525" t="e">
        <f>SUM(S65:S69)</f>
        <v>#REF!</v>
      </c>
      <c r="X72" s="454"/>
      <c r="Y72" s="454"/>
      <c r="Z72" s="454"/>
      <c r="AA72" s="454"/>
      <c r="AB72" s="454"/>
      <c r="AE72" s="351"/>
      <c r="AF72" s="351"/>
      <c r="AG72" s="351"/>
      <c r="AH72" s="351"/>
      <c r="AI72" s="351"/>
    </row>
    <row r="73" spans="1:35" ht="21">
      <c r="A73" s="250"/>
      <c r="B73" s="250"/>
      <c r="C73" s="333"/>
      <c r="D73" s="318"/>
      <c r="E73" s="170"/>
      <c r="F73" s="170"/>
      <c r="G73" s="170"/>
      <c r="H73" s="170"/>
      <c r="I73" s="170"/>
      <c r="J73" s="355"/>
      <c r="K73" s="369"/>
      <c r="L73" s="355"/>
      <c r="M73" s="344"/>
      <c r="N73" s="36" t="s">
        <v>25</v>
      </c>
      <c r="O73" t="s">
        <v>25</v>
      </c>
      <c r="R73" t="s">
        <v>25</v>
      </c>
      <c r="X73" s="454"/>
      <c r="Y73" s="454"/>
      <c r="Z73" s="454"/>
      <c r="AA73" s="454"/>
      <c r="AB73" s="454"/>
      <c r="AE73" s="351"/>
      <c r="AF73" s="351"/>
      <c r="AG73" s="351"/>
      <c r="AH73" s="351"/>
      <c r="AI73" s="351"/>
    </row>
    <row r="74" spans="1:35" ht="21">
      <c r="A74" s="225"/>
      <c r="B74" s="225"/>
      <c r="C74" s="224"/>
      <c r="D74" s="225"/>
      <c r="E74" s="314"/>
      <c r="F74" s="314"/>
      <c r="G74" s="314"/>
      <c r="H74" s="314"/>
      <c r="I74" s="314"/>
      <c r="J74" s="314"/>
      <c r="K74" s="315"/>
      <c r="L74" s="314"/>
      <c r="N74" t="s">
        <v>25</v>
      </c>
      <c r="O74" s="498"/>
      <c r="P74" t="s">
        <v>25</v>
      </c>
      <c r="X74" s="454"/>
      <c r="Y74" s="454"/>
      <c r="Z74" s="454"/>
      <c r="AA74" s="454"/>
      <c r="AB74" s="454"/>
      <c r="AE74" s="351"/>
      <c r="AF74" s="351"/>
      <c r="AG74" s="351"/>
      <c r="AH74" s="351"/>
      <c r="AI74" s="351"/>
    </row>
    <row r="75" spans="1:35" ht="21" customHeight="1">
      <c r="A75" s="225"/>
      <c r="B75" s="225"/>
      <c r="C75" s="224"/>
      <c r="D75" s="225"/>
      <c r="E75" s="382"/>
      <c r="F75" s="382"/>
      <c r="G75" s="383"/>
      <c r="H75" s="382"/>
      <c r="I75" s="382"/>
      <c r="J75" s="355"/>
      <c r="K75" s="355"/>
      <c r="L75" s="355"/>
      <c r="M75" s="350" t="s">
        <v>25</v>
      </c>
      <c r="O75" s="398" t="s">
        <v>25</v>
      </c>
      <c r="P75" t="s">
        <v>25</v>
      </c>
      <c r="X75" s="454"/>
      <c r="Y75" s="454"/>
      <c r="Z75" s="454"/>
      <c r="AA75" s="454"/>
      <c r="AB75" s="454"/>
      <c r="AE75" s="351"/>
      <c r="AF75" s="351"/>
      <c r="AG75" s="351"/>
      <c r="AH75" s="351"/>
      <c r="AI75" s="351"/>
    </row>
    <row r="76" spans="1:35" ht="15.75">
      <c r="A76" s="225"/>
      <c r="B76" s="225"/>
      <c r="C76" s="224"/>
      <c r="D76" s="225"/>
      <c r="E76" s="382"/>
      <c r="F76" s="382"/>
      <c r="G76" s="383"/>
      <c r="H76" s="382"/>
      <c r="I76" s="382"/>
      <c r="J76" s="355"/>
      <c r="K76" s="355"/>
      <c r="L76" s="355"/>
      <c r="O76" s="498" t="s">
        <v>25</v>
      </c>
      <c r="Q76" t="s">
        <v>25</v>
      </c>
      <c r="X76" s="454"/>
      <c r="Y76" s="454"/>
      <c r="Z76" s="454"/>
      <c r="AA76" s="454"/>
      <c r="AB76" s="454"/>
      <c r="AE76" s="351"/>
      <c r="AF76" s="351"/>
      <c r="AG76" s="351"/>
      <c r="AH76" s="351"/>
      <c r="AI76" s="351"/>
    </row>
    <row r="77" spans="1:35" ht="21">
      <c r="A77" s="227" t="s">
        <v>6811</v>
      </c>
      <c r="B77" s="227" t="s">
        <v>5139</v>
      </c>
      <c r="C77" s="226">
        <v>528</v>
      </c>
      <c r="D77" s="299">
        <v>1</v>
      </c>
      <c r="E77" s="331" t="s">
        <v>6810</v>
      </c>
      <c r="F77" s="331">
        <v>13559.5</v>
      </c>
      <c r="G77" s="334">
        <f>C77*D77*0.9912/(F77*1.00115)</f>
        <v>3.8552486057752494E-2</v>
      </c>
      <c r="H77" s="331">
        <f>C77/F77</f>
        <v>3.8939488919207933E-2</v>
      </c>
      <c r="I77" s="331">
        <f>$O$33/$O$36</f>
        <v>4.4483750825226383E-2</v>
      </c>
      <c r="J77" s="331">
        <f>I77/H77</f>
        <v>1.1423814759747295</v>
      </c>
      <c r="K77" s="332">
        <f>(1/J77-1.015)*100</f>
        <v>-13.963566590419664</v>
      </c>
      <c r="L77" s="331"/>
      <c r="M77" t="s">
        <v>25</v>
      </c>
      <c r="O77" s="398" t="s">
        <v>25</v>
      </c>
      <c r="P77" t="s">
        <v>25</v>
      </c>
      <c r="Q77" t="s">
        <v>25</v>
      </c>
      <c r="X77" s="454"/>
      <c r="Y77" s="454"/>
      <c r="Z77" s="454"/>
      <c r="AA77" s="454"/>
      <c r="AB77" s="454"/>
      <c r="AE77" s="351"/>
      <c r="AF77" s="351"/>
      <c r="AG77" s="351"/>
      <c r="AH77" s="351"/>
      <c r="AI77" s="351"/>
    </row>
    <row r="78" spans="1:35" ht="21">
      <c r="A78" s="227"/>
      <c r="B78" s="227"/>
      <c r="C78" s="226"/>
      <c r="D78" s="299"/>
      <c r="E78" s="331"/>
      <c r="F78" s="331"/>
      <c r="G78" s="334"/>
      <c r="H78" s="331"/>
      <c r="I78" s="331"/>
      <c r="J78" s="331"/>
      <c r="K78" s="332"/>
      <c r="L78" s="331"/>
      <c r="O78" t="s">
        <v>25</v>
      </c>
      <c r="X78" s="454"/>
      <c r="Y78" s="454"/>
      <c r="Z78" s="454"/>
      <c r="AA78" s="454"/>
      <c r="AB78" s="454"/>
      <c r="AE78" s="351"/>
      <c r="AF78" s="351"/>
      <c r="AG78" s="351"/>
      <c r="AH78" s="351"/>
      <c r="AI78" s="351"/>
    </row>
    <row r="79" spans="1:35" ht="21">
      <c r="A79" s="250"/>
      <c r="B79" s="250"/>
      <c r="C79" s="333"/>
      <c r="D79" s="318"/>
      <c r="E79" s="331"/>
      <c r="F79" s="331"/>
      <c r="G79" s="334"/>
      <c r="H79" s="331"/>
      <c r="I79" s="331"/>
      <c r="J79" s="331"/>
      <c r="K79" s="332"/>
      <c r="L79" s="331"/>
      <c r="M79" t="s">
        <v>25</v>
      </c>
      <c r="O79" t="s">
        <v>25</v>
      </c>
      <c r="X79" s="454"/>
      <c r="Y79" s="454"/>
      <c r="Z79" s="454"/>
      <c r="AA79" s="454"/>
      <c r="AB79" s="454"/>
      <c r="AE79" s="351"/>
      <c r="AF79" s="351"/>
      <c r="AG79" s="351"/>
      <c r="AH79" s="351"/>
      <c r="AI79" s="351"/>
    </row>
    <row r="80" spans="1:35" ht="21">
      <c r="A80" s="331" t="s">
        <v>6824</v>
      </c>
      <c r="B80" s="331" t="s">
        <v>6827</v>
      </c>
      <c r="C80" s="345">
        <v>8724.2999999999993</v>
      </c>
      <c r="D80" s="334">
        <v>71134</v>
      </c>
      <c r="E80" s="302" t="s">
        <v>4134</v>
      </c>
      <c r="F80" s="302">
        <v>1719.9647014073792</v>
      </c>
      <c r="G80" s="302">
        <f t="shared" ref="G80:G100" si="125">C80*D80*0.99885/(F80*1.003631981)</f>
        <v>359098.89592002367</v>
      </c>
      <c r="H80" s="225">
        <f t="shared" ref="H80:H101" si="126">C80/F80</f>
        <v>5.0723715392887128</v>
      </c>
      <c r="I80" s="225">
        <f>$O$37/$O$32</f>
        <v>6.9033018867924527</v>
      </c>
      <c r="J80" s="28">
        <f>I80/H80</f>
        <v>1.3609614030285502</v>
      </c>
      <c r="K80" s="230">
        <f t="shared" ref="K80" si="127">(1/J80-1.015)*100</f>
        <v>-28.022530486559127</v>
      </c>
      <c r="L80" s="228"/>
      <c r="M80" t="s">
        <v>25</v>
      </c>
      <c r="V80" s="518"/>
      <c r="W80" s="454"/>
      <c r="X80" s="454"/>
      <c r="Y80" s="454"/>
      <c r="Z80" s="454"/>
      <c r="AC80" s="351"/>
      <c r="AD80" s="351"/>
      <c r="AE80" s="351"/>
      <c r="AF80" s="351"/>
      <c r="AG80" s="351"/>
    </row>
    <row r="81" spans="1:37" ht="21">
      <c r="A81" s="331" t="s">
        <v>6824</v>
      </c>
      <c r="B81" s="331" t="s">
        <v>6810</v>
      </c>
      <c r="C81" s="345">
        <v>14116.9</v>
      </c>
      <c r="D81" s="334">
        <v>22382</v>
      </c>
      <c r="E81" s="302" t="s">
        <v>4134</v>
      </c>
      <c r="F81" s="302">
        <v>1720.6021300874859</v>
      </c>
      <c r="G81" s="302">
        <f t="shared" si="125"/>
        <v>182761.01261804847</v>
      </c>
      <c r="H81" s="225">
        <f t="shared" si="126"/>
        <v>8.2046277597495543</v>
      </c>
      <c r="I81" s="225">
        <f t="shared" ref="I81:I86" si="128">$O$36/$O$32</f>
        <v>8.8066037735849054</v>
      </c>
      <c r="J81" s="28">
        <f>I81/H81</f>
        <v>1.0733703016715199</v>
      </c>
      <c r="K81" s="230">
        <f t="shared" ref="K81" si="129">(1/J81-1.015)*100</f>
        <v>-8.3355069594587157</v>
      </c>
      <c r="L81" s="228"/>
      <c r="O81" t="s">
        <v>25</v>
      </c>
      <c r="V81" s="518"/>
      <c r="W81" s="454"/>
      <c r="X81" s="454"/>
      <c r="Y81" s="454"/>
      <c r="Z81" s="454"/>
      <c r="AC81" s="351"/>
      <c r="AD81" s="351"/>
      <c r="AE81" s="351"/>
      <c r="AF81" s="351"/>
      <c r="AG81" s="351"/>
    </row>
    <row r="82" spans="1:37" ht="21">
      <c r="A82" s="331" t="s">
        <v>6826</v>
      </c>
      <c r="B82" s="331" t="s">
        <v>6810</v>
      </c>
      <c r="C82" s="345">
        <v>14385</v>
      </c>
      <c r="D82" s="334">
        <v>15000</v>
      </c>
      <c r="E82" s="302" t="s">
        <v>4134</v>
      </c>
      <c r="F82" s="302">
        <v>1709.5837200456449</v>
      </c>
      <c r="G82" s="302">
        <f t="shared" si="125"/>
        <v>125613.56285967458</v>
      </c>
      <c r="H82" s="225">
        <f t="shared" si="126"/>
        <v>8.4143290739899701</v>
      </c>
      <c r="I82" s="225">
        <f t="shared" si="128"/>
        <v>8.8066037735849054</v>
      </c>
      <c r="J82" s="28">
        <f t="shared" ref="J82:J83" si="130">I82/H82</f>
        <v>1.046619842906729</v>
      </c>
      <c r="K82" s="230">
        <f t="shared" ref="K82" si="131">(1/J82-1.015)*100</f>
        <v>-5.9543243874732754</v>
      </c>
      <c r="L82" s="228"/>
      <c r="M82" t="s">
        <v>25</v>
      </c>
      <c r="N82" t="s">
        <v>25</v>
      </c>
      <c r="T82" t="s">
        <v>25</v>
      </c>
      <c r="V82" s="518"/>
      <c r="W82" s="454"/>
      <c r="X82" s="454"/>
      <c r="Y82" s="454"/>
      <c r="Z82" s="454"/>
      <c r="AC82" s="351"/>
      <c r="AD82" s="351"/>
      <c r="AE82" s="351"/>
      <c r="AF82" s="351"/>
      <c r="AG82" s="351"/>
    </row>
    <row r="83" spans="1:37" ht="21">
      <c r="A83" s="331" t="s">
        <v>6828</v>
      </c>
      <c r="B83" s="331" t="s">
        <v>6810</v>
      </c>
      <c r="C83" s="345">
        <v>14647</v>
      </c>
      <c r="D83" s="334">
        <v>6000</v>
      </c>
      <c r="E83" s="302" t="s">
        <v>4075</v>
      </c>
      <c r="F83" s="302">
        <v>1711.9513122860403</v>
      </c>
      <c r="G83" s="302">
        <f t="shared" si="125"/>
        <v>51089.812037703196</v>
      </c>
      <c r="H83" s="225">
        <f t="shared" si="126"/>
        <v>8.5557339714534564</v>
      </c>
      <c r="I83" s="225">
        <f t="shared" si="128"/>
        <v>8.8066037735849054</v>
      </c>
      <c r="J83" s="28">
        <f t="shared" si="130"/>
        <v>1.0293218329331517</v>
      </c>
      <c r="K83" s="230">
        <f>(1/J83-1.015)*100</f>
        <v>-4.3486554928691472</v>
      </c>
      <c r="L83" s="228"/>
      <c r="N83" t="s">
        <v>25</v>
      </c>
      <c r="O83" t="s">
        <v>25</v>
      </c>
      <c r="P83" t="s">
        <v>25</v>
      </c>
      <c r="V83" s="518"/>
      <c r="W83" s="354"/>
      <c r="X83" s="454"/>
      <c r="Y83" s="454"/>
      <c r="Z83" s="454"/>
      <c r="AC83" s="351"/>
      <c r="AD83" s="351"/>
      <c r="AE83" s="351"/>
      <c r="AF83" s="351"/>
      <c r="AG83" s="351"/>
    </row>
    <row r="84" spans="1:37" ht="21">
      <c r="A84" s="331" t="s">
        <v>6829</v>
      </c>
      <c r="B84" s="331" t="s">
        <v>6810</v>
      </c>
      <c r="C84" s="345">
        <v>14870</v>
      </c>
      <c r="D84" s="334">
        <v>3642</v>
      </c>
      <c r="E84" s="302" t="s">
        <v>4134</v>
      </c>
      <c r="F84" s="302">
        <v>1702.8451882845188</v>
      </c>
      <c r="G84" s="302">
        <f t="shared" si="125"/>
        <v>31652.026864165495</v>
      </c>
      <c r="H84" s="225">
        <f t="shared" si="126"/>
        <v>8.7324438547348766</v>
      </c>
      <c r="I84" s="225">
        <f t="shared" si="128"/>
        <v>8.8066037735849054</v>
      </c>
      <c r="J84" s="28">
        <f t="shared" ref="J84" si="132">I84/H84</f>
        <v>1.0084924587072859</v>
      </c>
      <c r="K84" s="230">
        <f>(1/J84-1.015)*100</f>
        <v>-2.3420944186505532</v>
      </c>
      <c r="L84" s="228"/>
      <c r="M84" t="s">
        <v>25</v>
      </c>
      <c r="O84" t="s">
        <v>25</v>
      </c>
      <c r="T84" t="s">
        <v>25</v>
      </c>
      <c r="W84" s="454"/>
      <c r="X84" s="454"/>
      <c r="Y84" s="454"/>
      <c r="Z84" s="454"/>
      <c r="AC84" s="351"/>
      <c r="AD84" s="351"/>
      <c r="AE84" s="351"/>
      <c r="AF84" s="351"/>
      <c r="AG84" s="351"/>
    </row>
    <row r="85" spans="1:37" ht="21">
      <c r="A85" s="331" t="s">
        <v>6829</v>
      </c>
      <c r="B85" s="331" t="s">
        <v>6810</v>
      </c>
      <c r="C85" s="345">
        <v>14870</v>
      </c>
      <c r="D85" s="334">
        <v>3721</v>
      </c>
      <c r="E85" s="346" t="s">
        <v>4134</v>
      </c>
      <c r="F85" s="302">
        <v>1702.8451882845188</v>
      </c>
      <c r="G85" s="302">
        <f t="shared" si="125"/>
        <v>32338.602954848928</v>
      </c>
      <c r="H85" s="225">
        <f t="shared" si="126"/>
        <v>8.7324438547348766</v>
      </c>
      <c r="I85" s="225">
        <f t="shared" si="128"/>
        <v>8.8066037735849054</v>
      </c>
      <c r="J85" s="28">
        <f t="shared" ref="J85" si="133">I85/H85</f>
        <v>1.0084924587072859</v>
      </c>
      <c r="K85" s="230">
        <f t="shared" ref="K85" si="134">(1/J85-1.015)*100</f>
        <v>-2.3420944186505532</v>
      </c>
      <c r="L85" s="228"/>
      <c r="N85" t="s">
        <v>25</v>
      </c>
      <c r="O85" t="s">
        <v>25</v>
      </c>
      <c r="T85" s="518"/>
      <c r="U85" s="518"/>
      <c r="V85" s="518"/>
      <c r="AG85" s="351"/>
      <c r="AH85" s="351"/>
      <c r="AI85" s="351"/>
      <c r="AJ85" s="351"/>
      <c r="AK85" s="351"/>
    </row>
    <row r="86" spans="1:37" ht="21">
      <c r="A86" s="331" t="s">
        <v>6829</v>
      </c>
      <c r="B86" s="331" t="s">
        <v>6810</v>
      </c>
      <c r="C86" s="345">
        <v>15600</v>
      </c>
      <c r="D86" s="334">
        <v>35181</v>
      </c>
      <c r="E86" s="346" t="s">
        <v>4134</v>
      </c>
      <c r="F86" s="302">
        <v>1693.2382274629138</v>
      </c>
      <c r="G86" s="302">
        <f t="shared" si="125"/>
        <v>322582.27142649592</v>
      </c>
      <c r="H86" s="225">
        <f t="shared" si="126"/>
        <v>9.2131158787824372</v>
      </c>
      <c r="I86" s="225">
        <f t="shared" si="128"/>
        <v>8.8066037735849054</v>
      </c>
      <c r="J86" s="28">
        <f>I86/H86</f>
        <v>0.95587680535596886</v>
      </c>
      <c r="K86" s="230">
        <f>(1/J86-1.015)*100</f>
        <v>3.1159917676420346</v>
      </c>
      <c r="L86" s="228"/>
      <c r="N86" t="s">
        <v>25</v>
      </c>
      <c r="O86" t="s">
        <v>25</v>
      </c>
      <c r="U86" s="366"/>
      <c r="Y86" s="380"/>
      <c r="AD86" s="351"/>
      <c r="AE86" s="351"/>
      <c r="AF86" s="351"/>
      <c r="AG86" s="351"/>
    </row>
    <row r="87" spans="1:37" ht="21">
      <c r="A87" s="331" t="s">
        <v>6829</v>
      </c>
      <c r="B87" s="331" t="s">
        <v>6810</v>
      </c>
      <c r="C87" s="345">
        <v>14870</v>
      </c>
      <c r="D87" s="334">
        <v>2279</v>
      </c>
      <c r="E87" s="318" t="s">
        <v>4542</v>
      </c>
      <c r="F87" s="318">
        <v>435</v>
      </c>
      <c r="G87" s="318">
        <f t="shared" si="125"/>
        <v>77533.93376708201</v>
      </c>
      <c r="H87" s="250">
        <f t="shared" si="126"/>
        <v>34.183908045977013</v>
      </c>
      <c r="I87" s="250">
        <f>$O$36/$O$34</f>
        <v>45.09661835748792</v>
      </c>
      <c r="J87" s="28">
        <f>I87/H87</f>
        <v>1.3192353050105745</v>
      </c>
      <c r="K87" s="230">
        <f>(1/J87-1.015)*100</f>
        <v>-25.69851134957425</v>
      </c>
      <c r="L87" s="228"/>
      <c r="N87" t="s">
        <v>25</v>
      </c>
      <c r="O87" t="s">
        <v>25</v>
      </c>
      <c r="T87" t="s">
        <v>25</v>
      </c>
      <c r="U87" s="496"/>
      <c r="Y87" s="380"/>
      <c r="Z87" s="380"/>
      <c r="AA87" s="380"/>
      <c r="AB87" s="380"/>
      <c r="AC87" s="380"/>
      <c r="AD87" s="351"/>
      <c r="AE87" s="351"/>
      <c r="AF87" s="351"/>
      <c r="AG87" s="351"/>
      <c r="AK87" s="351"/>
    </row>
    <row r="88" spans="1:37" ht="21">
      <c r="A88" s="331" t="s">
        <v>6829</v>
      </c>
      <c r="B88" s="331" t="s">
        <v>6810</v>
      </c>
      <c r="C88" s="345">
        <v>14870</v>
      </c>
      <c r="D88" s="334">
        <v>2279</v>
      </c>
      <c r="E88" s="349" t="s">
        <v>4542</v>
      </c>
      <c r="F88" s="318">
        <v>435</v>
      </c>
      <c r="G88" s="318">
        <f t="shared" si="125"/>
        <v>77533.93376708201</v>
      </c>
      <c r="H88" s="250">
        <f t="shared" si="126"/>
        <v>34.183908045977013</v>
      </c>
      <c r="I88" s="250">
        <f>$O$36/$O$34</f>
        <v>45.09661835748792</v>
      </c>
      <c r="J88" s="28">
        <f>I88/H88</f>
        <v>1.3192353050105745</v>
      </c>
      <c r="K88" s="230">
        <f t="shared" ref="K88" si="135">(1/J88-1.015)*100</f>
        <v>-25.69851134957425</v>
      </c>
      <c r="L88" s="228"/>
      <c r="N88" t="s">
        <v>25</v>
      </c>
      <c r="U88" s="496"/>
      <c r="Y88" s="380"/>
      <c r="Z88" s="380"/>
      <c r="AA88" s="380"/>
      <c r="AB88" s="380"/>
      <c r="AC88" s="380"/>
      <c r="AD88" s="351"/>
      <c r="AE88" s="351"/>
      <c r="AF88" s="351"/>
      <c r="AG88" s="351"/>
      <c r="AK88" s="366"/>
    </row>
    <row r="89" spans="1:37" ht="21">
      <c r="A89" s="331" t="s">
        <v>6829</v>
      </c>
      <c r="B89" s="331" t="s">
        <v>6810</v>
      </c>
      <c r="C89" s="345">
        <v>15600</v>
      </c>
      <c r="D89" s="334">
        <v>40264</v>
      </c>
      <c r="E89" s="349" t="s">
        <v>4542</v>
      </c>
      <c r="F89" s="318">
        <v>438</v>
      </c>
      <c r="G89" s="318">
        <f t="shared" si="125"/>
        <v>1427227.4417065773</v>
      </c>
      <c r="H89" s="250">
        <f t="shared" si="126"/>
        <v>35.61643835616438</v>
      </c>
      <c r="I89" s="250">
        <f>$O$36/$O$34</f>
        <v>45.09661835748792</v>
      </c>
      <c r="J89" s="28">
        <f>I89/H89</f>
        <v>1.2661742846525454</v>
      </c>
      <c r="K89" s="230">
        <f>(1/J89-1.015)*100</f>
        <v>-22.521931015254115</v>
      </c>
      <c r="L89" s="228"/>
      <c r="N89" t="s">
        <v>25</v>
      </c>
      <c r="T89" s="541"/>
      <c r="U89" s="541"/>
      <c r="V89" s="541"/>
      <c r="W89" s="541"/>
      <c r="X89" s="541"/>
      <c r="Y89" s="380"/>
      <c r="Z89" s="380"/>
      <c r="AA89" s="380"/>
      <c r="AB89" s="380"/>
      <c r="AC89" s="380"/>
      <c r="AD89" s="351"/>
      <c r="AE89" s="351"/>
      <c r="AF89" s="351"/>
      <c r="AG89" s="351"/>
      <c r="AK89" s="351"/>
    </row>
    <row r="90" spans="1:37" ht="21">
      <c r="A90" s="331" t="s">
        <v>6831</v>
      </c>
      <c r="B90" s="331" t="s">
        <v>6810</v>
      </c>
      <c r="C90" s="345">
        <v>16212</v>
      </c>
      <c r="D90" s="334">
        <v>224</v>
      </c>
      <c r="E90" s="349" t="s">
        <v>4542</v>
      </c>
      <c r="F90" s="318">
        <v>432</v>
      </c>
      <c r="G90" s="318">
        <f t="shared" si="125"/>
        <v>8366.1692987308925</v>
      </c>
      <c r="H90" s="250">
        <f t="shared" si="126"/>
        <v>37.527777777777779</v>
      </c>
      <c r="I90" s="250">
        <f>$O$36/$O$34</f>
        <v>45.09661835748792</v>
      </c>
      <c r="J90" s="28">
        <f>I90/H90</f>
        <v>1.2016863514948668</v>
      </c>
      <c r="K90" s="230">
        <f>(1/J90-1.015)*100</f>
        <v>-18.283610069630406</v>
      </c>
      <c r="L90" s="228"/>
      <c r="N90" t="s">
        <v>25</v>
      </c>
      <c r="T90" s="541"/>
      <c r="U90" s="541"/>
      <c r="V90" s="541"/>
      <c r="W90" s="541"/>
      <c r="X90" s="541"/>
      <c r="Y90" s="380"/>
      <c r="Z90" s="380"/>
      <c r="AA90" s="380"/>
      <c r="AB90" s="380"/>
      <c r="AC90" s="380"/>
      <c r="AD90" s="351"/>
      <c r="AE90" s="351"/>
      <c r="AF90" s="351"/>
      <c r="AG90" s="351"/>
      <c r="AK90" s="351"/>
    </row>
    <row r="91" spans="1:37" ht="21">
      <c r="A91" s="331" t="s">
        <v>6831</v>
      </c>
      <c r="B91" s="331" t="s">
        <v>6810</v>
      </c>
      <c r="C91" s="345">
        <v>16756</v>
      </c>
      <c r="D91" s="334">
        <v>716</v>
      </c>
      <c r="E91" s="349" t="s">
        <v>4542</v>
      </c>
      <c r="F91" s="318">
        <v>435</v>
      </c>
      <c r="G91" s="318">
        <f t="shared" si="125"/>
        <v>27448.581090175932</v>
      </c>
      <c r="H91" s="250">
        <f t="shared" si="126"/>
        <v>38.51954022988506</v>
      </c>
      <c r="I91" s="250">
        <f>$O$36/$O$34</f>
        <v>45.09661835748792</v>
      </c>
      <c r="J91" s="28">
        <f t="shared" ref="J91" si="136">I91/H91</f>
        <v>1.1707465376884247</v>
      </c>
      <c r="K91" s="230">
        <f t="shared" ref="K91" si="137">(1/J91-1.015)*100</f>
        <v>-16.084415344550528</v>
      </c>
      <c r="L91" s="228"/>
      <c r="N91" t="s">
        <v>25</v>
      </c>
      <c r="O91" t="s">
        <v>25</v>
      </c>
      <c r="T91" s="541"/>
      <c r="U91" s="541"/>
      <c r="V91" s="541"/>
      <c r="W91" s="541"/>
      <c r="X91" s="541"/>
      <c r="Y91" s="380"/>
      <c r="Z91" s="366"/>
      <c r="AA91" s="380"/>
      <c r="AB91" s="380"/>
      <c r="AC91" s="380"/>
      <c r="AD91" s="351"/>
      <c r="AE91" s="351"/>
      <c r="AF91" s="351"/>
      <c r="AG91" s="351"/>
      <c r="AK91" t="s">
        <v>25</v>
      </c>
    </row>
    <row r="92" spans="1:37" ht="21">
      <c r="A92" s="331" t="s">
        <v>6829</v>
      </c>
      <c r="B92" s="331" t="s">
        <v>6810</v>
      </c>
      <c r="C92" s="345">
        <v>15800</v>
      </c>
      <c r="D92" s="334">
        <v>97579</v>
      </c>
      <c r="E92" s="348" t="s">
        <v>5139</v>
      </c>
      <c r="F92" s="299">
        <v>564.09649999999999</v>
      </c>
      <c r="G92" s="299">
        <f t="shared" si="125"/>
        <v>2720105.991936069</v>
      </c>
      <c r="H92" s="227">
        <f t="shared" si="126"/>
        <v>28.009392010055016</v>
      </c>
      <c r="I92" s="227">
        <f t="shared" ref="I92:I100" si="138">$O$36/$O$33</f>
        <v>22.480118727598569</v>
      </c>
      <c r="J92" s="28">
        <f t="shared" ref="J92:J101" si="139">I92/H92</f>
        <v>0.80259217049511433</v>
      </c>
      <c r="K92" s="230">
        <f t="shared" ref="K92:K96" si="140">(1/J92-1.015)*100</f>
        <v>23.096281494137429</v>
      </c>
      <c r="L92" s="228"/>
      <c r="O92" t="s">
        <v>25</v>
      </c>
      <c r="Y92" s="380"/>
      <c r="Z92" s="380"/>
      <c r="AA92" s="380"/>
      <c r="AB92" s="380"/>
      <c r="AC92" s="380"/>
      <c r="AD92" s="351"/>
      <c r="AE92" s="351"/>
      <c r="AF92" s="351"/>
      <c r="AG92" s="351"/>
    </row>
    <row r="93" spans="1:37" ht="21">
      <c r="A93" s="331" t="s">
        <v>6831</v>
      </c>
      <c r="B93" s="331" t="s">
        <v>6810</v>
      </c>
      <c r="C93" s="345">
        <v>16212</v>
      </c>
      <c r="D93" s="334">
        <v>12020</v>
      </c>
      <c r="E93" s="348" t="s">
        <v>5139</v>
      </c>
      <c r="F93" s="299">
        <v>568.19000000000005</v>
      </c>
      <c r="G93" s="299">
        <f t="shared" si="125"/>
        <v>341329.05544801702</v>
      </c>
      <c r="H93" s="227">
        <f t="shared" si="126"/>
        <v>28.53270912898854</v>
      </c>
      <c r="I93" s="227">
        <f t="shared" si="138"/>
        <v>22.480118727598569</v>
      </c>
      <c r="J93" s="28">
        <f t="shared" si="139"/>
        <v>0.78787186404109499</v>
      </c>
      <c r="K93" s="230">
        <f t="shared" si="140"/>
        <v>25.424192326258854</v>
      </c>
      <c r="L93" s="228"/>
      <c r="N93" t="s">
        <v>25</v>
      </c>
      <c r="W93" t="s">
        <v>25</v>
      </c>
      <c r="Y93" s="380"/>
      <c r="Z93" s="380"/>
      <c r="AA93" s="380"/>
      <c r="AB93" s="380"/>
      <c r="AC93" s="380"/>
      <c r="AD93" s="351"/>
      <c r="AE93" s="351"/>
      <c r="AF93" s="351"/>
      <c r="AG93" s="351"/>
    </row>
    <row r="94" spans="1:37" ht="21">
      <c r="A94" s="331" t="s">
        <v>6832</v>
      </c>
      <c r="B94" s="331" t="s">
        <v>6810</v>
      </c>
      <c r="C94" s="345">
        <v>16235</v>
      </c>
      <c r="D94" s="334">
        <v>6214</v>
      </c>
      <c r="E94" s="348" t="s">
        <v>5139</v>
      </c>
      <c r="F94" s="370">
        <v>556</v>
      </c>
      <c r="G94" s="370">
        <f t="shared" si="125"/>
        <v>180582.03069431783</v>
      </c>
      <c r="H94" s="367">
        <f t="shared" si="126"/>
        <v>29.199640287769785</v>
      </c>
      <c r="I94" s="367">
        <f t="shared" si="138"/>
        <v>22.480118727598569</v>
      </c>
      <c r="J94" s="355">
        <f t="shared" si="139"/>
        <v>0.76987656375391467</v>
      </c>
      <c r="K94" s="369">
        <f t="shared" si="140"/>
        <v>28.390952274739291</v>
      </c>
      <c r="L94" s="368"/>
      <c r="V94" s="380"/>
      <c r="W94" s="378"/>
      <c r="Y94" s="380"/>
      <c r="Z94" s="380"/>
      <c r="AA94" s="380"/>
      <c r="AB94" s="380"/>
      <c r="AC94" s="380"/>
    </row>
    <row r="95" spans="1:37" ht="21">
      <c r="A95" s="331" t="s">
        <v>6831</v>
      </c>
      <c r="B95" s="331" t="s">
        <v>6810</v>
      </c>
      <c r="C95" s="345">
        <v>16756</v>
      </c>
      <c r="D95" s="334">
        <v>31581</v>
      </c>
      <c r="E95" s="348" t="s">
        <v>5139</v>
      </c>
      <c r="F95" s="299">
        <v>560</v>
      </c>
      <c r="G95" s="299">
        <f t="shared" si="125"/>
        <v>940446.26182873116</v>
      </c>
      <c r="H95" s="227">
        <f t="shared" si="126"/>
        <v>29.921428571428571</v>
      </c>
      <c r="I95" s="227">
        <f t="shared" si="138"/>
        <v>22.480118727598569</v>
      </c>
      <c r="J95" s="28">
        <f t="shared" si="139"/>
        <v>0.75130499447691568</v>
      </c>
      <c r="K95" s="230">
        <f t="shared" si="140"/>
        <v>31.601737290623809</v>
      </c>
      <c r="L95" s="228"/>
      <c r="O95" t="s">
        <v>25</v>
      </c>
      <c r="T95" s="528"/>
      <c r="U95" s="528"/>
      <c r="V95" s="528"/>
      <c r="W95" s="528"/>
      <c r="Y95" s="380"/>
      <c r="Z95" s="380"/>
      <c r="AA95" s="380"/>
      <c r="AB95" s="380"/>
      <c r="AC95" s="380"/>
    </row>
    <row r="96" spans="1:37" ht="21">
      <c r="A96" s="331" t="s">
        <v>6832</v>
      </c>
      <c r="B96" s="331" t="s">
        <v>6810</v>
      </c>
      <c r="C96" s="345">
        <v>17050</v>
      </c>
      <c r="D96" s="334">
        <v>10193</v>
      </c>
      <c r="E96" s="348" t="s">
        <v>5139</v>
      </c>
      <c r="F96" s="299">
        <v>560</v>
      </c>
      <c r="G96" s="299">
        <f t="shared" si="125"/>
        <v>308861.7748174154</v>
      </c>
      <c r="H96" s="227">
        <f t="shared" si="126"/>
        <v>30.446428571428573</v>
      </c>
      <c r="I96" s="227">
        <f t="shared" si="138"/>
        <v>22.480118727598569</v>
      </c>
      <c r="J96" s="28">
        <f t="shared" si="139"/>
        <v>0.73834994061320813</v>
      </c>
      <c r="K96" s="230">
        <f t="shared" si="140"/>
        <v>33.937134208948216</v>
      </c>
      <c r="L96" s="228"/>
      <c r="P96" t="s">
        <v>25</v>
      </c>
      <c r="T96" s="528"/>
      <c r="U96" s="528"/>
      <c r="V96" s="528"/>
      <c r="W96" s="528"/>
      <c r="X96" s="329"/>
      <c r="Y96" s="380"/>
      <c r="Z96" s="380"/>
      <c r="AA96" s="380"/>
      <c r="AB96" s="380"/>
      <c r="AC96" s="380"/>
      <c r="AE96" t="s">
        <v>25</v>
      </c>
    </row>
    <row r="97" spans="1:29" ht="21">
      <c r="A97" s="331" t="s">
        <v>6817</v>
      </c>
      <c r="B97" s="331" t="s">
        <v>6810</v>
      </c>
      <c r="C97" s="345">
        <v>14976</v>
      </c>
      <c r="D97" s="334">
        <v>584</v>
      </c>
      <c r="E97" s="348" t="s">
        <v>5139</v>
      </c>
      <c r="F97" s="370">
        <v>543</v>
      </c>
      <c r="G97" s="370">
        <f t="shared" si="125"/>
        <v>16030.040924111199</v>
      </c>
      <c r="H97" s="367">
        <f t="shared" si="126"/>
        <v>27.58011049723757</v>
      </c>
      <c r="I97" s="367">
        <f t="shared" si="138"/>
        <v>22.480118727598569</v>
      </c>
      <c r="J97" s="355">
        <f t="shared" ref="J97" si="141">I97/H97</f>
        <v>0.81508443303191924</v>
      </c>
      <c r="K97" s="369">
        <f t="shared" ref="K97" si="142">(1/J97-1.015)*100</f>
        <v>21.186676309132668</v>
      </c>
      <c r="L97" s="368"/>
      <c r="N97" t="s">
        <v>25</v>
      </c>
      <c r="O97" t="s">
        <v>25</v>
      </c>
      <c r="T97" s="380" t="s">
        <v>25</v>
      </c>
      <c r="U97" s="366"/>
      <c r="V97" s="380" t="s">
        <v>25</v>
      </c>
      <c r="W97" s="378"/>
      <c r="X97" s="337"/>
      <c r="Y97" s="380"/>
      <c r="Z97" s="380"/>
      <c r="AA97" s="380"/>
      <c r="AB97" s="380"/>
      <c r="AC97" s="380"/>
    </row>
    <row r="98" spans="1:29" ht="21">
      <c r="A98" s="331" t="s">
        <v>6817</v>
      </c>
      <c r="B98" s="331" t="s">
        <v>6810</v>
      </c>
      <c r="C98" s="345">
        <v>14969</v>
      </c>
      <c r="D98" s="334">
        <v>43109</v>
      </c>
      <c r="E98" s="348" t="s">
        <v>5139</v>
      </c>
      <c r="F98" s="370">
        <v>541</v>
      </c>
      <c r="G98" s="370">
        <f t="shared" si="125"/>
        <v>1187105.3276976866</v>
      </c>
      <c r="H98" s="367">
        <f t="shared" si="126"/>
        <v>27.669131238447321</v>
      </c>
      <c r="I98" s="367">
        <f t="shared" si="138"/>
        <v>22.480118727598569</v>
      </c>
      <c r="J98" s="355">
        <f t="shared" ref="J98" si="143">I98/H98</f>
        <v>0.81246203698515773</v>
      </c>
      <c r="K98" s="369">
        <f t="shared" ref="K98" si="144">(1/J98-1.015)*100</f>
        <v>21.582673956157826</v>
      </c>
      <c r="L98" s="368"/>
      <c r="N98" t="s">
        <v>25</v>
      </c>
      <c r="O98" t="s">
        <v>25</v>
      </c>
      <c r="T98" s="454" t="s">
        <v>25</v>
      </c>
      <c r="U98" s="380"/>
      <c r="V98" s="380"/>
      <c r="W98" s="378"/>
      <c r="X98" s="337"/>
      <c r="Y98" s="380"/>
      <c r="Z98" s="380"/>
      <c r="AA98" s="380"/>
      <c r="AB98" s="380"/>
      <c r="AC98" s="380"/>
    </row>
    <row r="99" spans="1:29" ht="21">
      <c r="A99" s="331" t="s">
        <v>6838</v>
      </c>
      <c r="B99" s="331" t="s">
        <v>6810</v>
      </c>
      <c r="C99" s="345">
        <v>14870</v>
      </c>
      <c r="D99" s="334">
        <v>43136</v>
      </c>
      <c r="E99" s="348" t="s">
        <v>5139</v>
      </c>
      <c r="F99" s="370">
        <v>541.11710000000005</v>
      </c>
      <c r="G99" s="370">
        <f t="shared" si="125"/>
        <v>1179737.4412215259</v>
      </c>
      <c r="H99" s="367">
        <f t="shared" si="126"/>
        <v>27.480188668959084</v>
      </c>
      <c r="I99" s="367">
        <f t="shared" si="138"/>
        <v>22.480118727598569</v>
      </c>
      <c r="J99" s="355">
        <f t="shared" ref="J99:J100" si="145">I99/H99</f>
        <v>0.81804819458869049</v>
      </c>
      <c r="K99" s="369">
        <f t="shared" ref="K99:K100" si="146">(1/J99-1.015)*100</f>
        <v>20.742186538018558</v>
      </c>
      <c r="L99" s="368"/>
      <c r="N99" t="s">
        <v>25</v>
      </c>
      <c r="O99" t="s">
        <v>25</v>
      </c>
      <c r="T99" s="454" t="s">
        <v>25</v>
      </c>
      <c r="U99" s="380" t="s">
        <v>25</v>
      </c>
      <c r="V99" s="380"/>
      <c r="W99" s="378"/>
      <c r="X99" s="337"/>
      <c r="Y99" s="380"/>
      <c r="Z99" s="380"/>
      <c r="AA99" s="380"/>
      <c r="AB99" s="380"/>
      <c r="AC99" s="380"/>
    </row>
    <row r="100" spans="1:29" ht="21">
      <c r="A100" s="331" t="s">
        <v>6838</v>
      </c>
      <c r="B100" s="331" t="s">
        <v>6810</v>
      </c>
      <c r="C100" s="345">
        <v>14920</v>
      </c>
      <c r="D100" s="334">
        <v>109651</v>
      </c>
      <c r="E100" s="348" t="s">
        <v>5139</v>
      </c>
      <c r="F100" s="370">
        <v>541.15419999999995</v>
      </c>
      <c r="G100" s="370">
        <f t="shared" si="125"/>
        <v>3008750.4525413048</v>
      </c>
      <c r="H100" s="367">
        <f t="shared" si="126"/>
        <v>27.570699811624859</v>
      </c>
      <c r="I100" s="367">
        <f t="shared" si="138"/>
        <v>22.480118727598569</v>
      </c>
      <c r="J100" s="355">
        <f t="shared" si="145"/>
        <v>0.81536264517014878</v>
      </c>
      <c r="K100" s="369">
        <f t="shared" si="146"/>
        <v>21.144814049743644</v>
      </c>
      <c r="L100" s="368"/>
      <c r="N100" t="s">
        <v>25</v>
      </c>
      <c r="T100" s="454" t="s">
        <v>25</v>
      </c>
      <c r="U100" s="380"/>
      <c r="V100" s="380"/>
      <c r="X100" s="337"/>
      <c r="Y100" s="380"/>
      <c r="Z100" s="380"/>
      <c r="AA100" s="380"/>
      <c r="AB100" s="380"/>
      <c r="AC100" s="380"/>
    </row>
    <row r="101" spans="1:29" ht="21">
      <c r="A101" s="331" t="s">
        <v>6829</v>
      </c>
      <c r="B101" s="331" t="s">
        <v>6810</v>
      </c>
      <c r="C101" s="345">
        <v>15990</v>
      </c>
      <c r="D101" s="334">
        <v>1</v>
      </c>
      <c r="E101" s="347" t="s">
        <v>6830</v>
      </c>
      <c r="F101" s="334">
        <v>10912</v>
      </c>
      <c r="G101" s="334">
        <f>C101*D101*0.99885/(F101*1.00115)</f>
        <v>1.4619927827133694</v>
      </c>
      <c r="H101" s="331">
        <f t="shared" si="126"/>
        <v>1.4653592375366569</v>
      </c>
      <c r="I101" s="331">
        <f>$O$36/$O$39</f>
        <v>1.2045161290322581</v>
      </c>
      <c r="J101" s="28">
        <f t="shared" si="139"/>
        <v>0.82199374609130715</v>
      </c>
      <c r="K101" s="230">
        <f>(1/J101-1.0046)*100</f>
        <v>21.195426790670481</v>
      </c>
      <c r="L101" s="228"/>
      <c r="O101" t="s">
        <v>25</v>
      </c>
      <c r="T101" s="380" t="s">
        <v>25</v>
      </c>
      <c r="U101" s="380"/>
      <c r="Y101" s="380"/>
      <c r="Z101" s="380"/>
      <c r="AA101" s="380"/>
      <c r="AB101" s="380"/>
      <c r="AC101" s="380"/>
    </row>
    <row r="102" spans="1:29" ht="21">
      <c r="A102" s="331"/>
      <c r="B102" s="331"/>
      <c r="C102" s="345"/>
      <c r="D102" s="334"/>
      <c r="E102" s="346"/>
      <c r="F102" s="302"/>
      <c r="G102" s="302"/>
      <c r="H102" s="225"/>
      <c r="I102" s="225"/>
      <c r="J102" s="28"/>
      <c r="K102" s="230"/>
      <c r="L102" s="228"/>
      <c r="O102" t="s">
        <v>25</v>
      </c>
      <c r="T102" s="380" t="s">
        <v>25</v>
      </c>
      <c r="U102" s="380"/>
      <c r="Y102" s="380"/>
      <c r="Z102" s="380"/>
      <c r="AA102" s="380"/>
      <c r="AB102" s="380"/>
      <c r="AC102" s="380"/>
    </row>
    <row r="103" spans="1:29" ht="21">
      <c r="A103" s="331"/>
      <c r="B103" s="331"/>
      <c r="C103" s="345"/>
      <c r="D103" s="334"/>
      <c r="E103" s="340"/>
      <c r="F103" s="340"/>
      <c r="G103" s="330"/>
      <c r="H103" s="340"/>
      <c r="I103" s="340"/>
      <c r="J103" s="340"/>
      <c r="K103" s="341"/>
      <c r="L103" s="340"/>
      <c r="N103" t="s">
        <v>25</v>
      </c>
      <c r="R103" t="s">
        <v>25</v>
      </c>
      <c r="T103" s="380"/>
      <c r="Y103" s="380"/>
      <c r="Z103" s="380"/>
      <c r="AA103" s="380"/>
      <c r="AB103" s="380"/>
      <c r="AC103" s="380"/>
    </row>
    <row r="104" spans="1:29" ht="21">
      <c r="A104" s="225" t="s">
        <v>6772</v>
      </c>
      <c r="B104" s="225" t="s">
        <v>4134</v>
      </c>
      <c r="C104" s="224">
        <v>1196.5446937999241</v>
      </c>
      <c r="D104" s="225">
        <v>1.0981620718462823</v>
      </c>
      <c r="E104" s="314" t="s">
        <v>4400</v>
      </c>
      <c r="F104" s="314">
        <v>785.87</v>
      </c>
      <c r="G104" s="314">
        <f>C104*D104*0.9912/(F104*1.003631981)</f>
        <v>1.6513208201489087</v>
      </c>
      <c r="H104" s="314">
        <f>C104/F104</f>
        <v>1.5225733184876939</v>
      </c>
      <c r="I104" s="314" t="e">
        <f>$O$32/#REF!</f>
        <v>#REF!</v>
      </c>
      <c r="J104" s="314" t="e">
        <f>I104/H104</f>
        <v>#REF!</v>
      </c>
      <c r="K104" s="315" t="e">
        <f>(1/J104-1.0256)*100</f>
        <v>#REF!</v>
      </c>
      <c r="L104" s="314"/>
      <c r="T104" t="s">
        <v>25</v>
      </c>
      <c r="W104" s="378"/>
      <c r="X104" s="329"/>
      <c r="Y104" s="380"/>
      <c r="Z104" s="380"/>
      <c r="AA104" s="380"/>
      <c r="AB104" s="380"/>
      <c r="AC104" s="380"/>
    </row>
    <row r="105" spans="1:29" ht="21">
      <c r="A105" s="225"/>
      <c r="B105" s="225"/>
      <c r="C105" s="224"/>
      <c r="D105" s="225"/>
      <c r="E105" s="314"/>
      <c r="F105" s="314"/>
      <c r="G105" s="314"/>
      <c r="H105" s="314"/>
      <c r="I105" s="314"/>
      <c r="J105" s="314"/>
      <c r="K105" s="315"/>
      <c r="L105" s="314"/>
      <c r="N105" t="s">
        <v>25</v>
      </c>
      <c r="P105" t="s">
        <v>25</v>
      </c>
      <c r="V105" s="378"/>
      <c r="W105" s="378"/>
      <c r="X105" s="329"/>
      <c r="Y105" s="380"/>
      <c r="Z105" s="380"/>
      <c r="AA105" s="380"/>
      <c r="AB105" s="380"/>
      <c r="AC105" s="380"/>
    </row>
    <row r="106" spans="1:29">
      <c r="A106" s="307" t="s">
        <v>5281</v>
      </c>
      <c r="B106" s="28"/>
      <c r="C106" s="1"/>
      <c r="D106" s="28"/>
      <c r="E106" s="28"/>
      <c r="F106" s="1"/>
      <c r="G106" s="28"/>
      <c r="H106" s="28"/>
      <c r="I106" s="28"/>
      <c r="J106" s="28"/>
      <c r="K106" s="28"/>
      <c r="L106" s="28"/>
      <c r="P106" t="s">
        <v>25</v>
      </c>
      <c r="T106" t="s">
        <v>25</v>
      </c>
      <c r="U106" s="35"/>
      <c r="V106" s="378"/>
      <c r="Y106" s="380"/>
      <c r="Z106" s="380"/>
      <c r="AA106" s="380"/>
      <c r="AB106" s="380"/>
      <c r="AC106" s="380"/>
    </row>
    <row r="107" spans="1:29" ht="15.75">
      <c r="A107" s="229" t="s">
        <v>6693</v>
      </c>
      <c r="B107" s="225" t="s">
        <v>4134</v>
      </c>
      <c r="C107" s="224">
        <v>1321.2985926207684</v>
      </c>
      <c r="D107" s="302">
        <v>19427.703263528358</v>
      </c>
      <c r="E107" s="227" t="s">
        <v>5139</v>
      </c>
      <c r="F107" s="226">
        <v>486.84610260918487</v>
      </c>
      <c r="G107" s="299">
        <f t="shared" ref="G107:G133" si="147">C107*D107*0.9912/(F107*1.003631981)</f>
        <v>52073.592214102442</v>
      </c>
      <c r="H107" s="227">
        <f t="shared" ref="H107:H133" si="148">C107/F107</f>
        <v>2.7139964468020796</v>
      </c>
      <c r="I107" s="227">
        <f t="shared" ref="I107:I133" si="149">$O$32/$O$33</f>
        <v>2.5526433691756276</v>
      </c>
      <c r="J107" s="227">
        <f>I107/H107</f>
        <v>0.94054779334122729</v>
      </c>
      <c r="K107" s="227">
        <f>(1/J107-1.0256)*100</f>
        <v>3.7610192060068659</v>
      </c>
      <c r="L107" s="227"/>
      <c r="O107" t="s">
        <v>5357</v>
      </c>
      <c r="T107" s="25" t="s">
        <v>25</v>
      </c>
      <c r="U107" s="378"/>
      <c r="W107" s="335"/>
      <c r="Y107" s="380"/>
      <c r="Z107" s="380"/>
      <c r="AA107" s="380"/>
      <c r="AB107" s="380"/>
      <c r="AC107" s="380"/>
    </row>
    <row r="108" spans="1:29" ht="15.75">
      <c r="A108" s="229" t="s">
        <v>6697</v>
      </c>
      <c r="B108" s="225" t="s">
        <v>4134</v>
      </c>
      <c r="C108" s="224">
        <v>1322.2092050209205</v>
      </c>
      <c r="D108" s="302">
        <v>19425.955821644486</v>
      </c>
      <c r="E108" s="227" t="s">
        <v>5139</v>
      </c>
      <c r="F108" s="226">
        <v>486.84610260918487</v>
      </c>
      <c r="G108" s="299">
        <f t="shared" si="147"/>
        <v>52104.793252817217</v>
      </c>
      <c r="H108" s="227">
        <f t="shared" si="148"/>
        <v>2.7158668785366089</v>
      </c>
      <c r="I108" s="227">
        <f t="shared" si="149"/>
        <v>2.5526433691756276</v>
      </c>
      <c r="J108" s="227">
        <f>I108/H108</f>
        <v>0.93990003315297577</v>
      </c>
      <c r="K108" s="227">
        <f>(1/J108-1.0256)*100</f>
        <v>3.834293512833864</v>
      </c>
      <c r="L108" s="227"/>
      <c r="O108" t="s">
        <v>5358</v>
      </c>
      <c r="T108" s="25"/>
      <c r="U108" s="378"/>
      <c r="V108" s="366"/>
      <c r="W108" s="335"/>
      <c r="Y108" s="380"/>
      <c r="Z108" s="380"/>
      <c r="AA108" s="380"/>
      <c r="AB108" s="380"/>
      <c r="AC108" s="380"/>
    </row>
    <row r="109" spans="1:29" ht="15.75">
      <c r="A109" s="229" t="s">
        <v>6697</v>
      </c>
      <c r="B109" s="225" t="s">
        <v>4134</v>
      </c>
      <c r="C109" s="224">
        <v>1323.1198174210726</v>
      </c>
      <c r="D109" s="302">
        <v>19424.208379760723</v>
      </c>
      <c r="E109" s="227" t="s">
        <v>5139</v>
      </c>
      <c r="F109" s="226">
        <v>486.84610260918487</v>
      </c>
      <c r="G109" s="299">
        <f t="shared" si="147"/>
        <v>52135.987835563828</v>
      </c>
      <c r="H109" s="227">
        <f t="shared" si="148"/>
        <v>2.7177373102711382</v>
      </c>
      <c r="I109" s="227">
        <f t="shared" si="149"/>
        <v>2.5526433691756276</v>
      </c>
      <c r="J109" s="227">
        <f t="shared" ref="J109:J125" si="150">I109/H109</f>
        <v>0.93925316458232688</v>
      </c>
      <c r="K109" s="227">
        <f t="shared" ref="K109:K125" si="151">(1/J109-1.0256)*100</f>
        <v>3.9075678196608843</v>
      </c>
      <c r="L109" s="227"/>
      <c r="O109" t="s">
        <v>5359</v>
      </c>
      <c r="T109" s="366" t="s">
        <v>25</v>
      </c>
      <c r="V109" s="366"/>
      <c r="W109" s="335"/>
      <c r="Y109" s="380"/>
      <c r="Z109" s="380"/>
      <c r="AA109" s="380"/>
      <c r="AB109" s="380"/>
      <c r="AC109" s="380"/>
    </row>
    <row r="110" spans="1:29" ht="15.75">
      <c r="A110" s="229" t="s">
        <v>6697</v>
      </c>
      <c r="B110" s="225" t="s">
        <v>4134</v>
      </c>
      <c r="C110" s="224">
        <v>1324.0304298212247</v>
      </c>
      <c r="D110" s="302">
        <v>19422.460937876847</v>
      </c>
      <c r="E110" s="227" t="s">
        <v>5139</v>
      </c>
      <c r="F110" s="226">
        <v>486.84610260918487</v>
      </c>
      <c r="G110" s="299">
        <f t="shared" si="147"/>
        <v>52167.175962341658</v>
      </c>
      <c r="H110" s="227">
        <f t="shared" si="148"/>
        <v>2.7196077420056675</v>
      </c>
      <c r="I110" s="227">
        <f t="shared" si="149"/>
        <v>2.5526433691756276</v>
      </c>
      <c r="J110" s="227">
        <f t="shared" si="150"/>
        <v>0.93860718578962921</v>
      </c>
      <c r="K110" s="227">
        <f t="shared" si="151"/>
        <v>3.9808421264879046</v>
      </c>
      <c r="L110" s="227"/>
      <c r="N110" t="s">
        <v>25</v>
      </c>
      <c r="O110" t="s">
        <v>5360</v>
      </c>
      <c r="T110" s="366" t="s">
        <v>25</v>
      </c>
      <c r="U110" s="366" t="s">
        <v>25</v>
      </c>
      <c r="V110" s="366"/>
      <c r="X110" s="196"/>
      <c r="Y110" s="380"/>
      <c r="Z110" s="380"/>
      <c r="AA110" s="380"/>
      <c r="AB110" s="380"/>
      <c r="AC110" s="380"/>
    </row>
    <row r="111" spans="1:29" ht="15.75">
      <c r="A111" s="229" t="s">
        <v>6697</v>
      </c>
      <c r="B111" s="225" t="s">
        <v>4134</v>
      </c>
      <c r="C111" s="224">
        <v>1324.9410422213771</v>
      </c>
      <c r="D111" s="302">
        <v>19420.713495993088</v>
      </c>
      <c r="E111" s="227" t="s">
        <v>5139</v>
      </c>
      <c r="F111" s="226">
        <v>486.84610260918487</v>
      </c>
      <c r="G111" s="299">
        <f t="shared" si="147"/>
        <v>52198.357633151354</v>
      </c>
      <c r="H111" s="227">
        <f t="shared" si="148"/>
        <v>2.7214781737401972</v>
      </c>
      <c r="I111" s="227">
        <f t="shared" si="149"/>
        <v>2.5526433691756276</v>
      </c>
      <c r="J111" s="227">
        <f t="shared" si="150"/>
        <v>0.93796209494028915</v>
      </c>
      <c r="K111" s="227">
        <f t="shared" si="151"/>
        <v>4.0541164333149471</v>
      </c>
      <c r="L111" s="227"/>
      <c r="O111" t="s">
        <v>5361</v>
      </c>
      <c r="T111" s="366" t="s">
        <v>25</v>
      </c>
      <c r="U111" s="366"/>
      <c r="V111" s="366"/>
      <c r="Y111" s="380"/>
      <c r="Z111" s="380"/>
      <c r="AA111" s="380"/>
      <c r="AB111" s="380"/>
      <c r="AC111" s="380"/>
    </row>
    <row r="112" spans="1:29" ht="15.75">
      <c r="A112" s="229" t="s">
        <v>6697</v>
      </c>
      <c r="B112" s="225" t="s">
        <v>4134</v>
      </c>
      <c r="C112" s="224">
        <v>1325.8516546215292</v>
      </c>
      <c r="D112" s="302">
        <v>19418.966054109322</v>
      </c>
      <c r="E112" s="227" t="s">
        <v>5139</v>
      </c>
      <c r="F112" s="226">
        <v>486.84610260918487</v>
      </c>
      <c r="G112" s="299">
        <f t="shared" si="147"/>
        <v>52229.532847992545</v>
      </c>
      <c r="H112" s="227">
        <f t="shared" si="148"/>
        <v>2.7233486054747265</v>
      </c>
      <c r="I112" s="227">
        <f t="shared" si="149"/>
        <v>2.5526433691756276</v>
      </c>
      <c r="J112" s="227">
        <f t="shared" si="150"/>
        <v>0.93731789020475331</v>
      </c>
      <c r="K112" s="227">
        <f t="shared" si="151"/>
        <v>4.1273907401419674</v>
      </c>
      <c r="L112" s="227"/>
      <c r="O112" t="s">
        <v>5362</v>
      </c>
      <c r="T112" s="366" t="s">
        <v>25</v>
      </c>
      <c r="U112" s="366"/>
      <c r="V112" s="366"/>
      <c r="Y112" s="380"/>
      <c r="Z112" s="380"/>
      <c r="AA112" s="380"/>
      <c r="AB112" s="380"/>
      <c r="AC112" s="380"/>
    </row>
    <row r="113" spans="1:35" ht="15.75">
      <c r="A113" s="229" t="s">
        <v>6697</v>
      </c>
      <c r="B113" s="225" t="s">
        <v>4134</v>
      </c>
      <c r="C113" s="224">
        <v>1326.7622670216813</v>
      </c>
      <c r="D113" s="302">
        <v>19417.21861222545</v>
      </c>
      <c r="E113" s="227" t="s">
        <v>5139</v>
      </c>
      <c r="F113" s="226">
        <v>486.84610260918487</v>
      </c>
      <c r="G113" s="299">
        <f t="shared" si="147"/>
        <v>52260.701606864997</v>
      </c>
      <c r="H113" s="227">
        <f t="shared" si="148"/>
        <v>2.7252190372092557</v>
      </c>
      <c r="I113" s="227">
        <f t="shared" si="149"/>
        <v>2.5526433691756276</v>
      </c>
      <c r="J113" s="227">
        <f t="shared" si="150"/>
        <v>0.93667456975849062</v>
      </c>
      <c r="K113" s="227">
        <f t="shared" si="151"/>
        <v>4.2006650469689877</v>
      </c>
      <c r="L113" s="227"/>
      <c r="T113" s="366"/>
      <c r="U113" s="366"/>
      <c r="V113" s="366"/>
      <c r="Y113" s="380"/>
      <c r="Z113" s="380"/>
      <c r="AA113" s="380"/>
      <c r="AB113" s="380"/>
      <c r="AC113" s="380"/>
    </row>
    <row r="114" spans="1:35" ht="15.75">
      <c r="A114" s="229" t="s">
        <v>6697</v>
      </c>
      <c r="B114" s="225" t="s">
        <v>4134</v>
      </c>
      <c r="C114" s="224">
        <v>1327.6728794218334</v>
      </c>
      <c r="D114" s="302">
        <v>19415.471170341687</v>
      </c>
      <c r="E114" s="227" t="s">
        <v>5139</v>
      </c>
      <c r="F114" s="226">
        <v>486.84610260918487</v>
      </c>
      <c r="G114" s="299">
        <f t="shared" si="147"/>
        <v>52291.863909769265</v>
      </c>
      <c r="H114" s="227">
        <f t="shared" si="148"/>
        <v>2.727089468943785</v>
      </c>
      <c r="I114" s="227">
        <f t="shared" si="149"/>
        <v>2.5526433691756276</v>
      </c>
      <c r="J114" s="227">
        <f t="shared" si="150"/>
        <v>0.93603213178197586</v>
      </c>
      <c r="K114" s="227">
        <f t="shared" si="151"/>
        <v>4.273939353796008</v>
      </c>
      <c r="L114" s="227"/>
      <c r="O114" t="s">
        <v>25</v>
      </c>
      <c r="T114" s="366"/>
      <c r="U114" s="366"/>
      <c r="V114" s="366"/>
      <c r="Y114" s="380"/>
      <c r="Z114" s="380"/>
      <c r="AA114" s="380"/>
      <c r="AB114" s="380"/>
      <c r="AC114" s="380"/>
    </row>
    <row r="115" spans="1:35" ht="27" customHeight="1">
      <c r="A115" s="229" t="s">
        <v>6697</v>
      </c>
      <c r="B115" s="225" t="s">
        <v>4134</v>
      </c>
      <c r="C115" s="224">
        <v>1339.5108406238114</v>
      </c>
      <c r="D115" s="302">
        <v>19415.316517360377</v>
      </c>
      <c r="E115" s="227" t="s">
        <v>5139</v>
      </c>
      <c r="F115" s="226">
        <v>491.15716618608906</v>
      </c>
      <c r="G115" s="299">
        <f t="shared" si="147"/>
        <v>52294.621540621032</v>
      </c>
      <c r="H115" s="227">
        <f t="shared" si="148"/>
        <v>2.7272550068348167</v>
      </c>
      <c r="I115" s="227">
        <f t="shared" si="149"/>
        <v>2.5526433691756276</v>
      </c>
      <c r="J115" s="227">
        <f t="shared" si="150"/>
        <v>0.93597531685830915</v>
      </c>
      <c r="K115" s="227">
        <f t="shared" si="151"/>
        <v>4.2804243133884867</v>
      </c>
      <c r="L115" s="227"/>
      <c r="T115" s="366"/>
      <c r="U115" s="366"/>
      <c r="V115" s="366"/>
      <c r="Y115" s="380"/>
      <c r="Z115" s="380"/>
      <c r="AA115" s="380"/>
      <c r="AB115" s="380"/>
      <c r="AC115" s="380"/>
    </row>
    <row r="116" spans="1:35" ht="15.75">
      <c r="A116" s="229" t="s">
        <v>6697</v>
      </c>
      <c r="B116" s="225" t="s">
        <v>4134</v>
      </c>
      <c r="C116" s="224">
        <v>1328.5834918219855</v>
      </c>
      <c r="D116" s="302">
        <v>19413.723728457924</v>
      </c>
      <c r="E116" s="227" t="s">
        <v>5139</v>
      </c>
      <c r="F116" s="226">
        <v>486.84610260918487</v>
      </c>
      <c r="G116" s="299">
        <f t="shared" si="147"/>
        <v>52323.019756705064</v>
      </c>
      <c r="H116" s="227">
        <f t="shared" si="148"/>
        <v>2.7289599006783143</v>
      </c>
      <c r="I116" s="227">
        <f t="shared" si="149"/>
        <v>2.5526433691756276</v>
      </c>
      <c r="J116" s="227">
        <f t="shared" si="150"/>
        <v>0.93539057446067231</v>
      </c>
      <c r="K116" s="227">
        <f t="shared" si="151"/>
        <v>4.3472136606230061</v>
      </c>
      <c r="L116" s="227"/>
      <c r="O116" t="s">
        <v>25</v>
      </c>
      <c r="T116" s="366" t="s">
        <v>25</v>
      </c>
      <c r="U116" s="366"/>
      <c r="V116" s="366"/>
      <c r="Y116" s="380"/>
      <c r="Z116" s="380"/>
      <c r="AA116" s="380"/>
      <c r="AB116" s="380"/>
      <c r="AC116" s="380"/>
      <c r="AG116" s="380"/>
      <c r="AH116" s="380"/>
      <c r="AI116" s="380"/>
    </row>
    <row r="117" spans="1:35" ht="15.75">
      <c r="A117" s="229" t="s">
        <v>6697</v>
      </c>
      <c r="B117" s="225" t="s">
        <v>4134</v>
      </c>
      <c r="C117" s="224">
        <v>1340.4214530239635</v>
      </c>
      <c r="D117" s="302">
        <v>19413.584413404144</v>
      </c>
      <c r="E117" s="227" t="s">
        <v>5139</v>
      </c>
      <c r="F117" s="226">
        <v>491.15716618608906</v>
      </c>
      <c r="G117" s="299">
        <f t="shared" si="147"/>
        <v>52325.503383182368</v>
      </c>
      <c r="H117" s="227">
        <f t="shared" si="148"/>
        <v>2.7291090211154656</v>
      </c>
      <c r="I117" s="227">
        <f t="shared" si="149"/>
        <v>2.5526433691756276</v>
      </c>
      <c r="J117" s="227">
        <f t="shared" si="150"/>
        <v>0.93533946406153046</v>
      </c>
      <c r="K117" s="227">
        <f t="shared" si="151"/>
        <v>4.3530554651990849</v>
      </c>
      <c r="L117" s="227"/>
      <c r="M117" t="s">
        <v>25</v>
      </c>
      <c r="T117" s="366"/>
      <c r="U117" s="366"/>
      <c r="Y117" s="380"/>
      <c r="Z117" s="380"/>
      <c r="AA117" s="380"/>
      <c r="AB117" s="380"/>
      <c r="AC117" s="380"/>
      <c r="AG117" s="380"/>
      <c r="AH117" s="380"/>
      <c r="AI117" s="380"/>
    </row>
    <row r="118" spans="1:35" ht="15.75">
      <c r="A118" s="229" t="s">
        <v>6697</v>
      </c>
      <c r="B118" s="225" t="s">
        <v>4134</v>
      </c>
      <c r="C118" s="224">
        <v>1329.4941042221378</v>
      </c>
      <c r="D118" s="302">
        <v>19411.976286574052</v>
      </c>
      <c r="E118" s="227" t="s">
        <v>5139</v>
      </c>
      <c r="F118" s="226">
        <v>486.84610260918487</v>
      </c>
      <c r="G118" s="299">
        <f t="shared" si="147"/>
        <v>52354.169147672117</v>
      </c>
      <c r="H118" s="227">
        <f t="shared" si="148"/>
        <v>2.730830332412844</v>
      </c>
      <c r="I118" s="227">
        <f t="shared" si="149"/>
        <v>2.5526433691756276</v>
      </c>
      <c r="J118" s="227">
        <f t="shared" si="150"/>
        <v>0.93474989598501412</v>
      </c>
      <c r="K118" s="227">
        <f t="shared" si="151"/>
        <v>4.4204879674500486</v>
      </c>
      <c r="L118" s="227"/>
      <c r="O118" t="s">
        <v>25</v>
      </c>
      <c r="T118" s="366"/>
      <c r="U118" s="366"/>
      <c r="Y118" s="380"/>
      <c r="Z118" s="380"/>
      <c r="AA118" s="380"/>
      <c r="AB118" s="380"/>
      <c r="AC118" s="380"/>
      <c r="AG118" s="380"/>
      <c r="AH118" s="380"/>
      <c r="AI118" s="380"/>
    </row>
    <row r="119" spans="1:35" ht="15.75">
      <c r="A119" s="229" t="s">
        <v>6697</v>
      </c>
      <c r="B119" s="225" t="s">
        <v>4134</v>
      </c>
      <c r="C119" s="224">
        <v>1341.3320654241156</v>
      </c>
      <c r="D119" s="302">
        <v>19411.852309447906</v>
      </c>
      <c r="E119" s="227" t="s">
        <v>5139</v>
      </c>
      <c r="F119" s="226">
        <v>491.15716618608906</v>
      </c>
      <c r="G119" s="299">
        <f t="shared" si="147"/>
        <v>52356.378882610574</v>
      </c>
      <c r="H119" s="227">
        <f t="shared" si="148"/>
        <v>2.7309630353961145</v>
      </c>
      <c r="I119" s="227">
        <f t="shared" si="149"/>
        <v>2.5526433691756276</v>
      </c>
      <c r="J119" s="227">
        <f t="shared" si="150"/>
        <v>0.93470447460867134</v>
      </c>
      <c r="K119" s="227">
        <f t="shared" si="151"/>
        <v>4.4256866170096831</v>
      </c>
      <c r="L119" s="227"/>
      <c r="O119" t="s">
        <v>25</v>
      </c>
      <c r="T119" s="366"/>
      <c r="Y119" s="380"/>
      <c r="Z119" s="380"/>
      <c r="AA119" s="380"/>
      <c r="AB119" s="380"/>
      <c r="AC119" s="380"/>
      <c r="AG119" s="380"/>
      <c r="AH119" s="380"/>
      <c r="AI119" s="380"/>
    </row>
    <row r="120" spans="1:35" ht="15.75">
      <c r="A120" s="229" t="s">
        <v>6697</v>
      </c>
      <c r="B120" s="225" t="s">
        <v>4134</v>
      </c>
      <c r="C120" s="224">
        <v>1330.4047166222899</v>
      </c>
      <c r="D120" s="302">
        <v>19410.228844690289</v>
      </c>
      <c r="E120" s="227" t="s">
        <v>5139</v>
      </c>
      <c r="F120" s="226">
        <v>486.84610260918487</v>
      </c>
      <c r="G120" s="299">
        <f t="shared" si="147"/>
        <v>52385.312082670993</v>
      </c>
      <c r="H120" s="227">
        <f t="shared" si="148"/>
        <v>2.7327007641473733</v>
      </c>
      <c r="I120" s="227">
        <f t="shared" si="149"/>
        <v>2.5526433691756276</v>
      </c>
      <c r="J120" s="227">
        <f t="shared" si="150"/>
        <v>0.93411009455039062</v>
      </c>
      <c r="K120" s="227">
        <f t="shared" si="151"/>
        <v>4.4937622742770689</v>
      </c>
      <c r="L120" s="227"/>
      <c r="M120" t="s">
        <v>25</v>
      </c>
      <c r="T120" t="s">
        <v>25</v>
      </c>
      <c r="Y120" s="380"/>
      <c r="Z120" s="380"/>
      <c r="AA120" s="380"/>
      <c r="AB120" s="380"/>
      <c r="AC120" s="380"/>
      <c r="AG120" s="380"/>
      <c r="AH120" s="380"/>
      <c r="AI120" s="380"/>
    </row>
    <row r="121" spans="1:35" ht="15.75">
      <c r="A121" s="229" t="s">
        <v>6697</v>
      </c>
      <c r="B121" s="225" t="s">
        <v>4134</v>
      </c>
      <c r="C121" s="224">
        <v>1331.315329022442</v>
      </c>
      <c r="D121" s="302">
        <v>19408.481402806523</v>
      </c>
      <c r="E121" s="227" t="s">
        <v>5139</v>
      </c>
      <c r="F121" s="226">
        <v>486.84610260918487</v>
      </c>
      <c r="G121" s="299">
        <f t="shared" si="147"/>
        <v>52416.448561701378</v>
      </c>
      <c r="H121" s="227">
        <f t="shared" si="148"/>
        <v>2.7345711958819026</v>
      </c>
      <c r="I121" s="227">
        <f t="shared" si="149"/>
        <v>2.5526433691756276</v>
      </c>
      <c r="J121" s="227">
        <f t="shared" si="150"/>
        <v>0.93347116835712773</v>
      </c>
      <c r="K121" s="227">
        <f t="shared" si="151"/>
        <v>4.5670365811040892</v>
      </c>
      <c r="L121" s="227"/>
      <c r="M121" t="s">
        <v>25</v>
      </c>
      <c r="T121" s="366" t="s">
        <v>25</v>
      </c>
      <c r="Z121" s="380"/>
      <c r="AA121" s="380"/>
      <c r="AB121" s="380"/>
      <c r="AC121" s="380"/>
      <c r="AG121" s="380"/>
      <c r="AH121" s="380"/>
      <c r="AI121" s="380"/>
    </row>
    <row r="122" spans="1:35" ht="15.75">
      <c r="A122" s="229" t="s">
        <v>6697</v>
      </c>
      <c r="B122" s="225" t="s">
        <v>4134</v>
      </c>
      <c r="C122" s="224">
        <v>1342.2426778242677</v>
      </c>
      <c r="D122" s="302">
        <v>19410.120205491785</v>
      </c>
      <c r="E122" s="227" t="s">
        <v>5139</v>
      </c>
      <c r="F122" s="226">
        <v>491.15716618608906</v>
      </c>
      <c r="G122" s="299">
        <f t="shared" si="147"/>
        <v>52387.248038905978</v>
      </c>
      <c r="H122" s="227">
        <f t="shared" si="148"/>
        <v>2.7328170496767634</v>
      </c>
      <c r="I122" s="227">
        <f t="shared" si="149"/>
        <v>2.5526433691756276</v>
      </c>
      <c r="J122" s="227">
        <f t="shared" si="150"/>
        <v>0.93407034674258682</v>
      </c>
      <c r="K122" s="227">
        <f t="shared" si="151"/>
        <v>4.4983177688202813</v>
      </c>
      <c r="L122" s="227"/>
      <c r="T122" s="366" t="s">
        <v>25</v>
      </c>
      <c r="U122" s="196"/>
    </row>
    <row r="123" spans="1:35" ht="15.75">
      <c r="A123" s="229" t="s">
        <v>6697</v>
      </c>
      <c r="B123" s="225" t="s">
        <v>4134</v>
      </c>
      <c r="C123" s="224">
        <v>1332.2259414225941</v>
      </c>
      <c r="D123" s="302">
        <v>19406.733960922651</v>
      </c>
      <c r="E123" s="227" t="s">
        <v>5139</v>
      </c>
      <c r="F123" s="226">
        <v>486.84610260918487</v>
      </c>
      <c r="G123" s="299">
        <f t="shared" si="147"/>
        <v>52447.578584763025</v>
      </c>
      <c r="H123" s="227">
        <f t="shared" si="148"/>
        <v>2.7364416276164318</v>
      </c>
      <c r="I123" s="227">
        <f t="shared" si="149"/>
        <v>2.5526433691756276</v>
      </c>
      <c r="J123" s="227">
        <f t="shared" si="150"/>
        <v>0.93283311561047222</v>
      </c>
      <c r="K123" s="227">
        <f t="shared" si="151"/>
        <v>4.6403108879310873</v>
      </c>
      <c r="L123" s="227"/>
      <c r="N123" t="s">
        <v>25</v>
      </c>
      <c r="T123" s="366"/>
      <c r="U123" t="s">
        <v>25</v>
      </c>
      <c r="AI123" s="366"/>
    </row>
    <row r="124" spans="1:35" ht="15.75">
      <c r="A124" s="229" t="s">
        <v>6697</v>
      </c>
      <c r="B124" s="225" t="s">
        <v>4134</v>
      </c>
      <c r="C124" s="224">
        <v>1343.1532902244201</v>
      </c>
      <c r="D124" s="302">
        <v>19408.388101535551</v>
      </c>
      <c r="E124" s="227" t="s">
        <v>5139</v>
      </c>
      <c r="F124" s="226">
        <v>491.15716618608906</v>
      </c>
      <c r="G124" s="299">
        <f t="shared" si="147"/>
        <v>52418.110852067955</v>
      </c>
      <c r="H124" s="227">
        <f t="shared" si="148"/>
        <v>2.7346710639574128</v>
      </c>
      <c r="I124" s="227">
        <f t="shared" si="149"/>
        <v>2.5526433691756276</v>
      </c>
      <c r="J124" s="227">
        <f t="shared" si="150"/>
        <v>0.93343707871089687</v>
      </c>
      <c r="K124" s="227">
        <f t="shared" si="151"/>
        <v>4.5709489206308795</v>
      </c>
      <c r="L124" s="227"/>
      <c r="O124" t="s">
        <v>25</v>
      </c>
      <c r="T124" s="366"/>
      <c r="U124" t="s">
        <v>25</v>
      </c>
      <c r="Y124" t="s">
        <v>25</v>
      </c>
      <c r="AH124" t="s">
        <v>25</v>
      </c>
    </row>
    <row r="125" spans="1:35" ht="15.75">
      <c r="A125" s="229" t="s">
        <v>6697</v>
      </c>
      <c r="B125" s="225" t="s">
        <v>4134</v>
      </c>
      <c r="C125" s="224">
        <v>1333.1365538227462</v>
      </c>
      <c r="D125" s="302">
        <v>19404.986519038888</v>
      </c>
      <c r="E125" s="227" t="s">
        <v>5139</v>
      </c>
      <c r="F125" s="226">
        <v>486.84610260918487</v>
      </c>
      <c r="G125" s="299">
        <f t="shared" si="147"/>
        <v>52478.702151856487</v>
      </c>
      <c r="H125" s="227">
        <f t="shared" si="148"/>
        <v>2.7383120593509611</v>
      </c>
      <c r="I125" s="227">
        <f t="shared" si="149"/>
        <v>2.5526433691756276</v>
      </c>
      <c r="J125" s="227">
        <f t="shared" si="150"/>
        <v>0.93219593452057437</v>
      </c>
      <c r="K125" s="227">
        <f t="shared" si="151"/>
        <v>4.7135851947581076</v>
      </c>
      <c r="L125" s="227"/>
      <c r="T125" s="366"/>
      <c r="U125" t="s">
        <v>25</v>
      </c>
      <c r="V125" t="s">
        <v>25</v>
      </c>
      <c r="X125" s="202" t="s">
        <v>5472</v>
      </c>
    </row>
    <row r="126" spans="1:35" ht="15.75">
      <c r="A126" s="229" t="s">
        <v>6697</v>
      </c>
      <c r="B126" s="225" t="s">
        <v>4134</v>
      </c>
      <c r="C126" s="224">
        <v>1334.0471662228986</v>
      </c>
      <c r="D126" s="302">
        <v>15590.134724310776</v>
      </c>
      <c r="E126" s="227" t="s">
        <v>5139</v>
      </c>
      <c r="F126" s="226">
        <v>486.84610260918487</v>
      </c>
      <c r="G126" s="299">
        <f t="shared" si="147"/>
        <v>42190.644222022223</v>
      </c>
      <c r="H126" s="227">
        <f t="shared" si="148"/>
        <v>2.7401824910854908</v>
      </c>
      <c r="I126" s="227">
        <f t="shared" si="149"/>
        <v>2.5526433691756276</v>
      </c>
      <c r="J126" s="227">
        <f>I126/H126</f>
        <v>0.93155962330247144</v>
      </c>
      <c r="K126" s="227">
        <f>(1/J126-1.0256)*100</f>
        <v>4.7868595015851501</v>
      </c>
      <c r="L126" s="227"/>
      <c r="T126" s="366"/>
    </row>
    <row r="127" spans="1:35" ht="15.75">
      <c r="A127" s="229" t="s">
        <v>6708</v>
      </c>
      <c r="B127" s="225" t="s">
        <v>4134</v>
      </c>
      <c r="C127" s="224">
        <v>1331.315329022442</v>
      </c>
      <c r="D127" s="302">
        <v>31119.520462564746</v>
      </c>
      <c r="E127" s="227" t="s">
        <v>5139</v>
      </c>
      <c r="F127" s="226">
        <v>480</v>
      </c>
      <c r="G127" s="299">
        <f t="shared" si="147"/>
        <v>85243.130965768403</v>
      </c>
      <c r="H127" s="227">
        <f t="shared" si="148"/>
        <v>2.7735736021300874</v>
      </c>
      <c r="I127" s="227">
        <f t="shared" si="149"/>
        <v>2.5526433691756276</v>
      </c>
      <c r="J127" s="227">
        <f>I127/H127</f>
        <v>0.92034455736642906</v>
      </c>
      <c r="K127" s="227">
        <f>(1/J127-1.0256)*100</f>
        <v>6.0949588407960276</v>
      </c>
      <c r="L127" s="227"/>
      <c r="N127" t="s">
        <v>25</v>
      </c>
      <c r="T127" s="366" t="s">
        <v>25</v>
      </c>
    </row>
    <row r="128" spans="1:35" ht="15.75">
      <c r="A128" s="229" t="s">
        <v>6716</v>
      </c>
      <c r="B128" s="225" t="s">
        <v>4134</v>
      </c>
      <c r="C128" s="224">
        <v>1282.1422594142259</v>
      </c>
      <c r="D128" s="302">
        <v>10981.620718462824</v>
      </c>
      <c r="E128" s="227" t="s">
        <v>5139</v>
      </c>
      <c r="F128" s="226">
        <v>460.7</v>
      </c>
      <c r="G128" s="299">
        <f t="shared" si="147"/>
        <v>30183.614406606379</v>
      </c>
      <c r="H128" s="227">
        <f t="shared" si="148"/>
        <v>2.7830307345652829</v>
      </c>
      <c r="I128" s="227">
        <f t="shared" si="149"/>
        <v>2.5526433691756276</v>
      </c>
      <c r="J128" s="227">
        <f>I128/H128</f>
        <v>0.91721709626550618</v>
      </c>
      <c r="K128" s="227">
        <f>(1/J128-1.0256)*100</f>
        <v>6.4654427301397144</v>
      </c>
      <c r="L128" s="227"/>
      <c r="N128" t="s">
        <v>25</v>
      </c>
      <c r="T128" s="36" t="s">
        <v>25</v>
      </c>
      <c r="U128" t="s">
        <v>25</v>
      </c>
    </row>
    <row r="129" spans="1:23" ht="15.75">
      <c r="A129" s="229" t="s">
        <v>6716</v>
      </c>
      <c r="B129" s="225" t="s">
        <v>4134</v>
      </c>
      <c r="C129" s="224">
        <v>1290.3377710155953</v>
      </c>
      <c r="D129" s="302">
        <v>10981.620718462824</v>
      </c>
      <c r="E129" s="227" t="s">
        <v>5139</v>
      </c>
      <c r="F129" s="226">
        <v>460.7</v>
      </c>
      <c r="G129" s="299">
        <f t="shared" si="147"/>
        <v>30376.549441875883</v>
      </c>
      <c r="H129" s="227">
        <f t="shared" si="148"/>
        <v>2.8008199935220217</v>
      </c>
      <c r="I129" s="227">
        <f t="shared" si="149"/>
        <v>2.5526433691756276</v>
      </c>
      <c r="J129" s="227">
        <f t="shared" ref="J129:J135" si="152">I129/H129</f>
        <v>0.91139144074935252</v>
      </c>
      <c r="K129" s="227">
        <f t="shared" ref="K129:K135" si="153">(1/J129-1.0256)*100</f>
        <v>7.1623383157727316</v>
      </c>
      <c r="L129" s="227"/>
      <c r="M129" t="s">
        <v>25</v>
      </c>
      <c r="T129" s="36" t="s">
        <v>25</v>
      </c>
      <c r="U129" t="s">
        <v>25</v>
      </c>
    </row>
    <row r="130" spans="1:23" ht="15.75">
      <c r="A130" s="229" t="s">
        <v>6717</v>
      </c>
      <c r="B130" s="225" t="s">
        <v>4134</v>
      </c>
      <c r="C130" s="224">
        <v>1298.5332826169647</v>
      </c>
      <c r="D130" s="302">
        <v>29113.37468671679</v>
      </c>
      <c r="E130" s="227" t="s">
        <v>5139</v>
      </c>
      <c r="F130" s="226">
        <v>460.6</v>
      </c>
      <c r="G130" s="299">
        <f t="shared" si="147"/>
        <v>81060.355338675217</v>
      </c>
      <c r="H130" s="227">
        <f t="shared" si="148"/>
        <v>2.8192211954341393</v>
      </c>
      <c r="I130" s="227">
        <f t="shared" si="149"/>
        <v>2.5526433691756276</v>
      </c>
      <c r="J130" s="227">
        <f t="shared" si="152"/>
        <v>0.90544274188550833</v>
      </c>
      <c r="K130" s="227">
        <f t="shared" si="153"/>
        <v>7.8832068136726274</v>
      </c>
      <c r="L130" s="227"/>
      <c r="O130" t="s">
        <v>25</v>
      </c>
      <c r="T130" s="366" t="s">
        <v>25</v>
      </c>
    </row>
    <row r="131" spans="1:23" ht="15.75">
      <c r="A131" s="229" t="s">
        <v>6717</v>
      </c>
      <c r="B131" s="225" t="s">
        <v>4134</v>
      </c>
      <c r="C131" s="224">
        <v>1303.9969570178775</v>
      </c>
      <c r="D131" s="302">
        <v>5337.0676691729323</v>
      </c>
      <c r="E131" s="227" t="s">
        <v>5139</v>
      </c>
      <c r="F131" s="226">
        <v>460.1</v>
      </c>
      <c r="G131" s="299">
        <f t="shared" si="147"/>
        <v>14938.736108785723</v>
      </c>
      <c r="H131" s="227">
        <f t="shared" si="148"/>
        <v>2.8341598718058627</v>
      </c>
      <c r="I131" s="227">
        <f t="shared" si="149"/>
        <v>2.5526433691756276</v>
      </c>
      <c r="J131" s="227">
        <f t="shared" si="152"/>
        <v>0.90067021079835585</v>
      </c>
      <c r="K131" s="227">
        <f t="shared" si="153"/>
        <v>8.4684306076469475</v>
      </c>
      <c r="L131" s="227"/>
    </row>
    <row r="132" spans="1:23" ht="15.75">
      <c r="A132" s="229" t="s">
        <v>6719</v>
      </c>
      <c r="B132" s="225" t="s">
        <v>4134</v>
      </c>
      <c r="C132" s="224">
        <v>1273.0361354127044</v>
      </c>
      <c r="D132" s="302">
        <v>10981.620718462824</v>
      </c>
      <c r="E132" s="227" t="s">
        <v>5139</v>
      </c>
      <c r="F132" s="226">
        <v>444</v>
      </c>
      <c r="G132" s="299">
        <f t="shared" si="147"/>
        <v>31096.463640296653</v>
      </c>
      <c r="H132" s="227">
        <f t="shared" si="148"/>
        <v>2.8671985031817666</v>
      </c>
      <c r="I132" s="227">
        <f t="shared" si="149"/>
        <v>2.5526433691756276</v>
      </c>
      <c r="J132" s="227">
        <f>I132/H132</f>
        <v>0.89029181842238225</v>
      </c>
      <c r="K132" s="227">
        <f>(1/J132-1.0256)*100</f>
        <v>9.7627215287705571</v>
      </c>
      <c r="L132" s="227"/>
    </row>
    <row r="133" spans="1:23" ht="15.75">
      <c r="A133" s="229" t="s">
        <v>6719</v>
      </c>
      <c r="B133" s="225" t="s">
        <v>4134</v>
      </c>
      <c r="C133" s="224">
        <v>1273.0361354127044</v>
      </c>
      <c r="D133" s="302">
        <v>13177.944862155387</v>
      </c>
      <c r="E133" s="227" t="s">
        <v>5139</v>
      </c>
      <c r="F133" s="226">
        <v>442.97</v>
      </c>
      <c r="G133" s="299">
        <f t="shared" si="147"/>
        <v>37402.523483644611</v>
      </c>
      <c r="H133" s="227">
        <f t="shared" si="148"/>
        <v>2.8738653529871194</v>
      </c>
      <c r="I133" s="227">
        <f t="shared" si="149"/>
        <v>2.5526433691756276</v>
      </c>
      <c r="J133" s="227">
        <f>I133/H133</f>
        <v>0.88822650181658269</v>
      </c>
      <c r="K133" s="227">
        <f>(1/J133-1.0256)*100</f>
        <v>10.023895881829725</v>
      </c>
      <c r="L133" s="227"/>
      <c r="T133" t="s">
        <v>25</v>
      </c>
    </row>
    <row r="134" spans="1:23" ht="15.75">
      <c r="A134" s="229"/>
      <c r="B134" s="225"/>
      <c r="C134" s="224"/>
      <c r="D134" s="302"/>
      <c r="E134" s="227"/>
      <c r="F134" s="226"/>
      <c r="G134" s="299"/>
      <c r="H134" s="227"/>
      <c r="I134" s="227"/>
      <c r="J134" s="227"/>
      <c r="K134" s="227"/>
      <c r="L134" s="227"/>
      <c r="N134" t="s">
        <v>25</v>
      </c>
      <c r="U134" s="366"/>
      <c r="W134" t="s">
        <v>25</v>
      </c>
    </row>
    <row r="135" spans="1:23" ht="15.75">
      <c r="A135" s="229"/>
      <c r="B135" s="225"/>
      <c r="C135" s="224"/>
      <c r="D135" s="302"/>
      <c r="E135" s="227"/>
      <c r="F135" s="226"/>
      <c r="G135" s="299"/>
      <c r="H135" s="227"/>
      <c r="I135" s="227">
        <f>$O$32/$O$33</f>
        <v>2.5526433691756276</v>
      </c>
      <c r="J135" s="227" t="e">
        <f t="shared" si="152"/>
        <v>#DIV/0!</v>
      </c>
      <c r="K135" s="227" t="e">
        <f t="shared" si="153"/>
        <v>#DIV/0!</v>
      </c>
      <c r="L135" s="227"/>
      <c r="T135" s="498"/>
      <c r="U135" s="366" t="s">
        <v>25</v>
      </c>
    </row>
    <row r="136" spans="1:23">
      <c r="T136" s="498"/>
      <c r="U136" s="366"/>
    </row>
    <row r="137" spans="1:23">
      <c r="T137" s="498"/>
      <c r="U137" s="366"/>
    </row>
    <row r="138" spans="1:23">
      <c r="O138" t="s">
        <v>25</v>
      </c>
    </row>
    <row r="139" spans="1:23">
      <c r="O139" t="s">
        <v>25</v>
      </c>
    </row>
    <row r="140" spans="1:23">
      <c r="T140" s="366"/>
    </row>
    <row r="141" spans="1:23">
      <c r="N141" t="s">
        <v>25</v>
      </c>
      <c r="O141" t="s">
        <v>25</v>
      </c>
    </row>
    <row r="143" spans="1:23">
      <c r="K143" t="s">
        <v>25</v>
      </c>
    </row>
    <row r="144" spans="1:23">
      <c r="J144" t="s">
        <v>25</v>
      </c>
      <c r="N144" t="s">
        <v>25</v>
      </c>
    </row>
    <row r="146" spans="1:20">
      <c r="N146" t="s">
        <v>25</v>
      </c>
    </row>
    <row r="148" spans="1:20">
      <c r="N148" t="s">
        <v>25</v>
      </c>
    </row>
    <row r="149" spans="1:20">
      <c r="N149" t="s">
        <v>25</v>
      </c>
      <c r="P149" t="s">
        <v>25</v>
      </c>
    </row>
    <row r="150" spans="1:20">
      <c r="N150" t="s">
        <v>25</v>
      </c>
    </row>
    <row r="154" spans="1:20">
      <c r="D154">
        <v>28000</v>
      </c>
    </row>
    <row r="156" spans="1:20">
      <c r="A156" t="s">
        <v>6570</v>
      </c>
      <c r="B156">
        <v>10330</v>
      </c>
      <c r="C156">
        <v>11900</v>
      </c>
      <c r="D156" s="7">
        <f t="shared" ref="D156:D178" si="154">B156*$D$154</f>
        <v>289240000</v>
      </c>
      <c r="E156" s="7">
        <f t="shared" ref="E156:E178" si="155">C156*$D$154</f>
        <v>333200000</v>
      </c>
      <c r="F156" s="7">
        <v>440000000</v>
      </c>
      <c r="G156">
        <f>(F156-E156)*100/E156</f>
        <v>32.052821128451377</v>
      </c>
    </row>
    <row r="157" spans="1:20">
      <c r="A157" t="s">
        <v>6571</v>
      </c>
      <c r="C157">
        <v>18000</v>
      </c>
      <c r="D157" s="7">
        <f t="shared" si="154"/>
        <v>0</v>
      </c>
      <c r="E157" s="7">
        <f t="shared" si="155"/>
        <v>504000000</v>
      </c>
      <c r="F157" s="7">
        <v>700000000</v>
      </c>
      <c r="G157">
        <f t="shared" ref="G157:G174" si="156">(F157-E157)*100/E157</f>
        <v>38.888888888888886</v>
      </c>
      <c r="O157" t="s">
        <v>25</v>
      </c>
    </row>
    <row r="158" spans="1:20">
      <c r="A158" t="s">
        <v>6572</v>
      </c>
      <c r="C158">
        <v>19000</v>
      </c>
      <c r="D158" s="7">
        <f t="shared" si="154"/>
        <v>0</v>
      </c>
      <c r="E158" s="7">
        <f t="shared" si="155"/>
        <v>532000000</v>
      </c>
      <c r="F158" s="7">
        <v>650000000</v>
      </c>
      <c r="G158">
        <f t="shared" si="156"/>
        <v>22.180451127819548</v>
      </c>
    </row>
    <row r="159" spans="1:20">
      <c r="A159" t="s">
        <v>6573</v>
      </c>
      <c r="C159">
        <v>23000</v>
      </c>
      <c r="D159" s="7">
        <f t="shared" si="154"/>
        <v>0</v>
      </c>
      <c r="E159" s="7">
        <f t="shared" si="155"/>
        <v>644000000</v>
      </c>
      <c r="F159" s="7">
        <v>930000000</v>
      </c>
      <c r="G159">
        <f t="shared" si="156"/>
        <v>44.409937888198755</v>
      </c>
      <c r="T159" t="s">
        <v>25</v>
      </c>
    </row>
    <row r="160" spans="1:20">
      <c r="A160" t="s">
        <v>6574</v>
      </c>
      <c r="C160">
        <v>13000</v>
      </c>
      <c r="D160" s="7">
        <f t="shared" si="154"/>
        <v>0</v>
      </c>
      <c r="E160" s="7">
        <f t="shared" si="155"/>
        <v>364000000</v>
      </c>
      <c r="F160" s="7">
        <v>600000000</v>
      </c>
      <c r="G160">
        <f t="shared" si="156"/>
        <v>64.835164835164832</v>
      </c>
    </row>
    <row r="161" spans="1:23">
      <c r="A161" t="s">
        <v>6575</v>
      </c>
      <c r="C161">
        <v>13000</v>
      </c>
      <c r="D161" s="7">
        <f t="shared" si="154"/>
        <v>0</v>
      </c>
      <c r="E161" s="7">
        <f t="shared" si="155"/>
        <v>364000000</v>
      </c>
      <c r="F161" s="7">
        <v>400000000</v>
      </c>
      <c r="G161">
        <f t="shared" si="156"/>
        <v>9.8901098901098905</v>
      </c>
    </row>
    <row r="162" spans="1:23">
      <c r="A162" t="s">
        <v>6576</v>
      </c>
      <c r="C162">
        <v>13600</v>
      </c>
      <c r="D162" s="7">
        <f t="shared" si="154"/>
        <v>0</v>
      </c>
      <c r="E162" s="7">
        <f t="shared" si="155"/>
        <v>380800000</v>
      </c>
      <c r="F162" s="7">
        <v>520000000</v>
      </c>
      <c r="G162">
        <f t="shared" si="156"/>
        <v>36.554621848739494</v>
      </c>
    </row>
    <row r="163" spans="1:23">
      <c r="A163" t="s">
        <v>6577</v>
      </c>
      <c r="C163">
        <v>28000</v>
      </c>
      <c r="D163" s="7">
        <f t="shared" si="154"/>
        <v>0</v>
      </c>
      <c r="E163" s="7">
        <f t="shared" si="155"/>
        <v>784000000</v>
      </c>
      <c r="F163" s="7">
        <v>900000000</v>
      </c>
      <c r="G163">
        <f t="shared" si="156"/>
        <v>14.795918367346939</v>
      </c>
    </row>
    <row r="164" spans="1:23">
      <c r="A164" t="s">
        <v>6578</v>
      </c>
      <c r="C164">
        <v>19000</v>
      </c>
      <c r="D164" s="7">
        <f t="shared" si="154"/>
        <v>0</v>
      </c>
      <c r="E164" s="7">
        <f t="shared" si="155"/>
        <v>532000000</v>
      </c>
      <c r="F164" s="7">
        <v>700000000</v>
      </c>
      <c r="G164">
        <f t="shared" si="156"/>
        <v>31.578947368421051</v>
      </c>
    </row>
    <row r="165" spans="1:23">
      <c r="A165" t="s">
        <v>6579</v>
      </c>
      <c r="C165">
        <v>15000</v>
      </c>
      <c r="D165" s="7">
        <f t="shared" si="154"/>
        <v>0</v>
      </c>
      <c r="E165" s="7">
        <f t="shared" si="155"/>
        <v>420000000</v>
      </c>
      <c r="F165" s="7">
        <v>700000000</v>
      </c>
      <c r="G165">
        <f t="shared" si="156"/>
        <v>66.666666666666671</v>
      </c>
      <c r="T165" s="495">
        <v>427061</v>
      </c>
      <c r="U165" s="495">
        <v>2617511</v>
      </c>
      <c r="V165">
        <v>2437975</v>
      </c>
      <c r="W165">
        <v>179537</v>
      </c>
    </row>
    <row r="166" spans="1:23">
      <c r="A166" t="s">
        <v>6580</v>
      </c>
      <c r="C166">
        <v>21000</v>
      </c>
      <c r="D166" s="7">
        <f t="shared" si="154"/>
        <v>0</v>
      </c>
      <c r="E166" s="7">
        <f t="shared" si="155"/>
        <v>588000000</v>
      </c>
      <c r="F166" s="7">
        <v>700000000</v>
      </c>
      <c r="G166">
        <f t="shared" si="156"/>
        <v>19.047619047619047</v>
      </c>
      <c r="N166" t="s">
        <v>25</v>
      </c>
      <c r="T166" s="495">
        <f>U166*T165/U165</f>
        <v>258283.61265072046</v>
      </c>
      <c r="U166" s="495">
        <v>1583053</v>
      </c>
      <c r="V166">
        <f>U166*V165/U165</f>
        <v>1474470.83801176</v>
      </c>
      <c r="W166">
        <f>U166*W165/U165</f>
        <v>108582.76678149585</v>
      </c>
    </row>
    <row r="167" spans="1:23">
      <c r="A167" t="s">
        <v>6581</v>
      </c>
      <c r="C167">
        <v>17000</v>
      </c>
      <c r="D167" s="7">
        <f t="shared" si="154"/>
        <v>0</v>
      </c>
      <c r="E167" s="7">
        <f t="shared" si="155"/>
        <v>476000000</v>
      </c>
      <c r="F167" s="7">
        <v>700000000</v>
      </c>
      <c r="G167">
        <f t="shared" si="156"/>
        <v>47.058823529411768</v>
      </c>
      <c r="T167" s="495">
        <f>T165-T166</f>
        <v>168777.38734927954</v>
      </c>
      <c r="U167" s="495">
        <f>U165-U166</f>
        <v>1034458</v>
      </c>
      <c r="V167">
        <f>V165-V166</f>
        <v>963504.16198823997</v>
      </c>
      <c r="W167">
        <f>W165-W166</f>
        <v>70954.233218504145</v>
      </c>
    </row>
    <row r="168" spans="1:23">
      <c r="A168" t="s">
        <v>6582</v>
      </c>
      <c r="C168">
        <v>11000</v>
      </c>
      <c r="D168" s="7">
        <f t="shared" si="154"/>
        <v>0</v>
      </c>
      <c r="E168" s="7">
        <f t="shared" si="155"/>
        <v>308000000</v>
      </c>
      <c r="F168" s="7">
        <v>370000000</v>
      </c>
      <c r="G168">
        <f t="shared" si="156"/>
        <v>20.129870129870131</v>
      </c>
      <c r="O168" t="s">
        <v>25</v>
      </c>
    </row>
    <row r="169" spans="1:23">
      <c r="D169" s="7">
        <f t="shared" si="154"/>
        <v>0</v>
      </c>
      <c r="E169" s="7">
        <f t="shared" si="155"/>
        <v>0</v>
      </c>
      <c r="F169" s="7"/>
      <c r="G169" t="e">
        <f t="shared" si="156"/>
        <v>#DIV/0!</v>
      </c>
    </row>
    <row r="170" spans="1:23">
      <c r="D170" s="7">
        <f t="shared" si="154"/>
        <v>0</v>
      </c>
      <c r="E170" s="7">
        <f t="shared" si="155"/>
        <v>0</v>
      </c>
      <c r="F170" s="7"/>
      <c r="G170" t="e">
        <f t="shared" si="156"/>
        <v>#DIV/0!</v>
      </c>
    </row>
    <row r="171" spans="1:23">
      <c r="D171" s="7">
        <f t="shared" si="154"/>
        <v>0</v>
      </c>
      <c r="E171" s="7">
        <f t="shared" si="155"/>
        <v>0</v>
      </c>
      <c r="F171" s="7"/>
      <c r="G171" t="e">
        <f t="shared" si="156"/>
        <v>#DIV/0!</v>
      </c>
    </row>
    <row r="172" spans="1:23">
      <c r="D172" s="7">
        <f t="shared" si="154"/>
        <v>0</v>
      </c>
      <c r="E172" s="7">
        <f t="shared" si="155"/>
        <v>0</v>
      </c>
      <c r="F172" s="7"/>
      <c r="G172" t="e">
        <f t="shared" si="156"/>
        <v>#DIV/0!</v>
      </c>
    </row>
    <row r="173" spans="1:23">
      <c r="D173" s="7">
        <f t="shared" si="154"/>
        <v>0</v>
      </c>
      <c r="E173" s="7">
        <f t="shared" si="155"/>
        <v>0</v>
      </c>
      <c r="F173" s="7"/>
      <c r="G173" t="e">
        <f t="shared" si="156"/>
        <v>#DIV/0!</v>
      </c>
    </row>
    <row r="174" spans="1:23">
      <c r="D174" s="7">
        <f t="shared" si="154"/>
        <v>0</v>
      </c>
      <c r="E174" s="7">
        <f t="shared" si="155"/>
        <v>0</v>
      </c>
      <c r="F174" s="7"/>
      <c r="G174" t="e">
        <f t="shared" si="156"/>
        <v>#DIV/0!</v>
      </c>
    </row>
    <row r="175" spans="1:23">
      <c r="D175" s="7">
        <f t="shared" si="154"/>
        <v>0</v>
      </c>
      <c r="E175" s="7">
        <f t="shared" si="155"/>
        <v>0</v>
      </c>
    </row>
    <row r="176" spans="1:23">
      <c r="D176" s="7">
        <f t="shared" si="154"/>
        <v>0</v>
      </c>
      <c r="E176" s="7">
        <f t="shared" si="155"/>
        <v>0</v>
      </c>
    </row>
    <row r="177" spans="4:20">
      <c r="D177" s="7">
        <f t="shared" si="154"/>
        <v>0</v>
      </c>
      <c r="E177" s="7">
        <f t="shared" si="155"/>
        <v>0</v>
      </c>
      <c r="O177" t="s">
        <v>25</v>
      </c>
    </row>
    <row r="178" spans="4:20">
      <c r="D178" s="7">
        <f t="shared" si="154"/>
        <v>0</v>
      </c>
      <c r="E178" s="7">
        <f t="shared" si="155"/>
        <v>0</v>
      </c>
    </row>
    <row r="184" spans="4:20">
      <c r="O184" t="s">
        <v>25</v>
      </c>
    </row>
    <row r="188" spans="4:20">
      <c r="T188" t="s">
        <v>25</v>
      </c>
    </row>
    <row r="207" spans="14:14">
      <c r="N207" t="s">
        <v>25</v>
      </c>
    </row>
    <row r="209" spans="14:14">
      <c r="N209" t="s">
        <v>25</v>
      </c>
    </row>
  </sheetData>
  <phoneticPr fontId="24" type="noConversion"/>
  <conditionalFormatting sqref="K81:K135 K76:K79 K63 K70:K73 K1:K3 P65:Q69 K7:K61">
    <cfRule type="cellIs" dxfId="25" priority="195" operator="lessThan">
      <formula>0</formula>
    </cfRule>
    <cfRule type="cellIs" dxfId="24" priority="196" operator="greaterThan">
      <formula>0</formula>
    </cfRule>
    <cfRule type="cellIs" dxfId="23" priority="197" operator="greaterThan">
      <formula>0</formula>
    </cfRule>
  </conditionalFormatting>
  <conditionalFormatting sqref="K80">
    <cfRule type="cellIs" dxfId="22" priority="180" operator="lessThan">
      <formula>0</formula>
    </cfRule>
    <cfRule type="cellIs" dxfId="21" priority="181" operator="greaterThan">
      <formula>0</formula>
    </cfRule>
    <cfRule type="cellIs" dxfId="20" priority="182" operator="greaterThan">
      <formula>0</formula>
    </cfRule>
  </conditionalFormatting>
  <conditionalFormatting sqref="K75">
    <cfRule type="cellIs" dxfId="19" priority="174" operator="lessThan">
      <formula>0</formula>
    </cfRule>
    <cfRule type="cellIs" dxfId="18" priority="175" operator="greaterThan">
      <formula>0</formula>
    </cfRule>
    <cfRule type="cellIs" dxfId="17" priority="176" operator="greaterThan">
      <formula>0</formula>
    </cfRule>
  </conditionalFormatting>
  <conditionalFormatting sqref="K74">
    <cfRule type="cellIs" dxfId="16" priority="171" operator="lessThan">
      <formula>0</formula>
    </cfRule>
    <cfRule type="cellIs" dxfId="15" priority="172" operator="greaterThan">
      <formula>0</formula>
    </cfRule>
    <cfRule type="cellIs" dxfId="14" priority="173" operator="greaterThan">
      <formula>0</formula>
    </cfRule>
  </conditionalFormatting>
  <conditionalFormatting sqref="P65:Q69">
    <cfRule type="cellIs" dxfId="13" priority="121" operator="lessThan">
      <formula>1</formula>
    </cfRule>
    <cfRule type="cellIs" dxfId="12" priority="122" operator="greaterThan">
      <formula>1</formula>
    </cfRule>
  </conditionalFormatting>
  <conditionalFormatting sqref="Q65:Q69">
    <cfRule type="cellIs" dxfId="11" priority="82" operator="lessThan">
      <formula>0</formula>
    </cfRule>
    <cfRule type="cellIs" dxfId="10" priority="83" operator="greaterThan">
      <formula>0</formula>
    </cfRule>
  </conditionalFormatting>
  <conditionalFormatting sqref="K62">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90"/>
      <c r="I1" s="590"/>
      <c r="J1" s="590"/>
      <c r="K1" s="590"/>
      <c r="L1" s="590"/>
      <c r="M1" s="590"/>
      <c r="N1" s="590"/>
      <c r="O1" s="590"/>
      <c r="P1" s="590"/>
      <c r="Q1" s="590"/>
      <c r="R1" s="590"/>
      <c r="S1" s="590"/>
      <c r="T1" s="590"/>
      <c r="U1" s="590"/>
      <c r="V1" s="590"/>
      <c r="W1" s="590"/>
      <c r="X1" s="590"/>
      <c r="Y1" s="590"/>
      <c r="Z1" s="590"/>
      <c r="AA1" s="590"/>
      <c r="AB1"/>
      <c r="AD1"/>
    </row>
    <row r="2" spans="1:30">
      <c r="A2" s="355" t="s">
        <v>7066</v>
      </c>
      <c r="B2" s="355">
        <v>0.1</v>
      </c>
      <c r="C2" s="355"/>
      <c r="D2" s="355"/>
      <c r="E2" s="355"/>
      <c r="F2" s="355"/>
      <c r="G2" s="355"/>
      <c r="H2" s="590"/>
      <c r="I2" s="590"/>
      <c r="J2" s="590"/>
      <c r="K2" s="590"/>
      <c r="L2" s="590"/>
      <c r="M2" s="590"/>
      <c r="N2" s="590"/>
      <c r="O2" s="590"/>
      <c r="P2" s="590"/>
      <c r="Q2" s="590"/>
      <c r="R2" s="590"/>
      <c r="S2" s="590"/>
      <c r="T2" s="590"/>
      <c r="U2" s="590"/>
      <c r="V2" s="590"/>
      <c r="W2" s="590"/>
      <c r="X2" s="590"/>
      <c r="Y2" s="590"/>
      <c r="Z2" s="590"/>
      <c r="AA2" s="590"/>
      <c r="AD2"/>
    </row>
    <row r="3" spans="1:30">
      <c r="A3" s="355" t="s">
        <v>4163</v>
      </c>
      <c r="B3" s="593">
        <v>135</v>
      </c>
      <c r="C3" s="355"/>
      <c r="D3" s="355"/>
      <c r="E3" s="355"/>
      <c r="F3" s="355"/>
      <c r="G3" s="355"/>
      <c r="H3" s="590"/>
      <c r="I3" s="590"/>
      <c r="J3" s="590"/>
      <c r="K3" s="590"/>
      <c r="L3" s="590"/>
      <c r="M3" s="590"/>
      <c r="N3" s="590"/>
      <c r="O3" s="590"/>
      <c r="P3" s="590"/>
      <c r="Q3" s="590"/>
      <c r="R3" s="590"/>
      <c r="S3" s="590"/>
      <c r="T3" s="590"/>
      <c r="U3" s="590"/>
      <c r="V3" s="590"/>
      <c r="W3" s="590"/>
      <c r="X3" s="590"/>
      <c r="Y3" s="590"/>
      <c r="Z3" s="590"/>
      <c r="AA3" s="590"/>
      <c r="AB3"/>
      <c r="AD3"/>
    </row>
    <row r="4" spans="1:30">
      <c r="A4" s="355" t="s">
        <v>6878</v>
      </c>
      <c r="B4" s="355">
        <v>130</v>
      </c>
      <c r="C4" s="355">
        <v>140</v>
      </c>
      <c r="D4" s="355">
        <v>150</v>
      </c>
      <c r="E4" s="355">
        <v>160</v>
      </c>
      <c r="F4" s="355">
        <v>170</v>
      </c>
      <c r="G4" s="355">
        <v>180</v>
      </c>
      <c r="H4" s="590"/>
      <c r="I4" s="590"/>
      <c r="J4" s="590"/>
      <c r="K4" s="590"/>
      <c r="L4" s="590"/>
      <c r="M4" s="590"/>
      <c r="N4" s="590"/>
      <c r="O4" s="590"/>
      <c r="P4" s="590"/>
      <c r="Q4" s="590"/>
      <c r="R4" s="590"/>
      <c r="S4" s="590"/>
      <c r="T4" s="590"/>
      <c r="U4" s="590"/>
      <c r="V4" s="590"/>
      <c r="W4" s="590"/>
      <c r="X4" s="590"/>
      <c r="Y4" s="590"/>
      <c r="Z4" s="590"/>
      <c r="AA4" s="590"/>
      <c r="AB4"/>
      <c r="AD4"/>
    </row>
    <row r="5" spans="1:30">
      <c r="A5" s="355" t="s">
        <v>7067</v>
      </c>
      <c r="B5" s="355">
        <f>B4*$B$2</f>
        <v>13</v>
      </c>
      <c r="C5" s="355">
        <f t="shared" ref="C5:G5" si="0">C4*$B$2</f>
        <v>14</v>
      </c>
      <c r="D5" s="355">
        <f t="shared" si="0"/>
        <v>15</v>
      </c>
      <c r="E5" s="355">
        <f t="shared" si="0"/>
        <v>16</v>
      </c>
      <c r="F5" s="355">
        <f t="shared" si="0"/>
        <v>17</v>
      </c>
      <c r="G5" s="355">
        <f t="shared" si="0"/>
        <v>18</v>
      </c>
      <c r="H5" s="590"/>
      <c r="I5" s="590"/>
      <c r="J5" s="590"/>
      <c r="K5" s="590"/>
      <c r="L5" s="590"/>
      <c r="M5" s="590"/>
      <c r="N5" s="590"/>
      <c r="O5" s="590"/>
      <c r="P5" s="590"/>
      <c r="Q5" s="590"/>
      <c r="R5" s="590"/>
      <c r="S5" s="590"/>
      <c r="T5" s="590"/>
      <c r="U5" s="590"/>
      <c r="V5" s="590"/>
      <c r="W5" s="590"/>
      <c r="X5" s="590"/>
      <c r="Y5" s="590"/>
      <c r="Z5" s="590"/>
      <c r="AA5" s="590"/>
      <c r="AB5"/>
      <c r="AD5"/>
    </row>
    <row r="6" spans="1:30">
      <c r="A6" s="355" t="s">
        <v>7069</v>
      </c>
      <c r="B6" s="355">
        <f>IF($B$3-B4&gt;0,$B$3-B4,0)</f>
        <v>5</v>
      </c>
      <c r="C6" s="355">
        <f t="shared" ref="C6:G6" si="1">IF($B$3-C4&gt;0,$B$3-C4,0)</f>
        <v>0</v>
      </c>
      <c r="D6" s="355">
        <f t="shared" si="1"/>
        <v>0</v>
      </c>
      <c r="E6" s="355">
        <f t="shared" si="1"/>
        <v>0</v>
      </c>
      <c r="F6" s="355">
        <f t="shared" si="1"/>
        <v>0</v>
      </c>
      <c r="G6" s="355">
        <f t="shared" si="1"/>
        <v>0</v>
      </c>
      <c r="H6" s="590"/>
      <c r="I6" s="590"/>
      <c r="J6" s="590"/>
      <c r="K6" s="590"/>
      <c r="L6" s="590"/>
      <c r="M6" s="590"/>
      <c r="N6" s="590"/>
      <c r="O6" s="590"/>
      <c r="P6" s="590"/>
      <c r="Q6" s="590"/>
      <c r="R6" s="590"/>
      <c r="S6" s="590"/>
      <c r="T6" s="590"/>
      <c r="U6" s="590"/>
      <c r="V6" s="590"/>
      <c r="W6" s="590"/>
      <c r="X6" s="590"/>
      <c r="Y6" s="590"/>
      <c r="Z6" s="590"/>
      <c r="AA6" s="590"/>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90"/>
      <c r="I7" s="590"/>
      <c r="J7" s="590"/>
      <c r="K7" s="590"/>
      <c r="L7" s="590"/>
      <c r="M7" s="590"/>
      <c r="N7" s="590"/>
      <c r="O7" s="590"/>
      <c r="P7" s="590"/>
      <c r="Q7" s="590"/>
      <c r="R7" s="590"/>
      <c r="S7" s="590"/>
      <c r="T7" s="590"/>
      <c r="U7" s="590"/>
      <c r="V7" s="590"/>
      <c r="W7" s="590"/>
      <c r="X7" s="590"/>
      <c r="Y7" s="590"/>
      <c r="Z7" s="590"/>
      <c r="AA7" s="590"/>
      <c r="AB7"/>
      <c r="AD7"/>
    </row>
    <row r="8" spans="1:30">
      <c r="A8" s="355" t="s">
        <v>7039</v>
      </c>
      <c r="B8" s="355">
        <f>MAX(B5,B7)</f>
        <v>22</v>
      </c>
      <c r="C8" s="355">
        <f t="shared" ref="C8:G8" si="3">MAX(C5,C7)</f>
        <v>27</v>
      </c>
      <c r="D8" s="355">
        <f t="shared" si="3"/>
        <v>27</v>
      </c>
      <c r="E8" s="355">
        <f t="shared" si="3"/>
        <v>27</v>
      </c>
      <c r="F8" s="355">
        <f t="shared" si="3"/>
        <v>27</v>
      </c>
      <c r="G8" s="355">
        <f t="shared" si="3"/>
        <v>27</v>
      </c>
      <c r="H8" s="590"/>
      <c r="I8" s="590"/>
      <c r="J8" s="590"/>
      <c r="K8" s="590"/>
      <c r="L8" s="590"/>
      <c r="M8" s="590"/>
      <c r="N8" s="590"/>
      <c r="O8" s="590"/>
      <c r="P8" s="590"/>
      <c r="Q8" s="590"/>
      <c r="R8" s="590"/>
      <c r="S8" s="590"/>
      <c r="T8" s="590"/>
      <c r="U8" s="590"/>
      <c r="V8" s="590"/>
      <c r="W8" s="590"/>
      <c r="X8" s="590"/>
      <c r="Y8" s="590"/>
      <c r="Z8" s="590"/>
      <c r="AA8" s="590"/>
      <c r="AB8"/>
      <c r="AD8"/>
    </row>
    <row r="9" spans="1:30">
      <c r="A9" s="590"/>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c r="AD9"/>
    </row>
    <row r="10" spans="1:30">
      <c r="A10" s="590"/>
      <c r="B10" s="590"/>
      <c r="C10" s="590"/>
      <c r="D10" s="590"/>
      <c r="E10" s="590"/>
      <c r="F10" s="590"/>
      <c r="G10" s="590"/>
      <c r="H10" s="590"/>
      <c r="I10" s="590"/>
      <c r="J10" s="590"/>
      <c r="K10" s="590"/>
      <c r="L10" s="590"/>
      <c r="M10" s="590"/>
      <c r="N10" s="590"/>
      <c r="O10" s="590"/>
      <c r="P10" s="590"/>
      <c r="Q10" s="590"/>
      <c r="R10" s="590"/>
      <c r="S10" s="590"/>
      <c r="T10" s="590"/>
      <c r="U10" s="590"/>
      <c r="V10" s="590"/>
      <c r="W10" s="590"/>
      <c r="X10" s="590"/>
      <c r="Y10" s="590"/>
      <c r="Z10" s="590"/>
      <c r="AA10" s="590"/>
      <c r="AB10"/>
      <c r="AC10" t="s">
        <v>25</v>
      </c>
      <c r="AD10"/>
    </row>
    <row r="11" spans="1:30">
      <c r="A11" s="590"/>
      <c r="B11" s="590"/>
      <c r="C11" s="590"/>
      <c r="D11" s="590"/>
      <c r="E11" s="590"/>
      <c r="F11" s="590"/>
      <c r="G11" s="590"/>
      <c r="H11" s="590"/>
      <c r="I11" s="590"/>
      <c r="J11" s="590"/>
      <c r="K11" s="590"/>
      <c r="L11" s="590"/>
      <c r="M11" s="590"/>
      <c r="N11" s="590"/>
      <c r="O11" s="590"/>
      <c r="P11" s="590"/>
      <c r="Q11" s="590"/>
      <c r="R11" s="590"/>
      <c r="S11" s="590"/>
      <c r="T11" s="590"/>
      <c r="U11" s="590"/>
      <c r="V11" s="590"/>
      <c r="W11" s="590"/>
      <c r="X11" s="590"/>
      <c r="Y11" s="590"/>
      <c r="Z11" s="590"/>
      <c r="AA11" s="590"/>
      <c r="AB11"/>
      <c r="AD11"/>
    </row>
    <row r="12" spans="1:30">
      <c r="A12" s="590"/>
      <c r="B12" s="590"/>
      <c r="C12" s="590"/>
      <c r="D12" s="590"/>
      <c r="E12" s="590"/>
      <c r="F12" s="590"/>
      <c r="G12" s="590"/>
      <c r="H12" s="590"/>
      <c r="I12" s="590"/>
      <c r="J12" s="590"/>
      <c r="K12" s="590"/>
      <c r="L12" s="590"/>
      <c r="M12" s="590"/>
      <c r="N12" s="590"/>
      <c r="O12" s="590"/>
      <c r="P12" s="590"/>
      <c r="Q12" s="590"/>
      <c r="R12" s="590"/>
      <c r="S12" s="590"/>
      <c r="T12" s="590"/>
      <c r="U12" s="590"/>
      <c r="V12" s="590"/>
      <c r="W12" s="590"/>
      <c r="X12" s="590"/>
      <c r="Y12" s="590"/>
      <c r="Z12" s="590"/>
      <c r="AA12" s="590"/>
      <c r="AB12"/>
      <c r="AD12"/>
    </row>
    <row r="13" spans="1:30">
      <c r="A13" s="590"/>
      <c r="B13" s="590"/>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c r="AD13"/>
    </row>
    <row r="14" spans="1:30">
      <c r="A14" s="590"/>
      <c r="B14" s="590"/>
      <c r="C14" s="590"/>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590"/>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L11" sqref="L1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4" t="s">
        <v>1007</v>
      </c>
      <c r="R21" s="594"/>
      <c r="S21" s="594"/>
      <c r="T21" s="594"/>
      <c r="W21" s="36" t="s">
        <v>4822</v>
      </c>
      <c r="X21" s="36">
        <v>9035210431</v>
      </c>
      <c r="Y21" s="36">
        <v>50</v>
      </c>
      <c r="Z21" s="36" t="s">
        <v>5082</v>
      </c>
      <c r="AA21" t="s">
        <v>4840</v>
      </c>
    </row>
    <row r="22" spans="5:30">
      <c r="O22" s="11"/>
      <c r="P22" s="11"/>
      <c r="Q22" s="594"/>
      <c r="R22" s="594"/>
      <c r="S22" s="594"/>
      <c r="T22" s="594"/>
      <c r="W22" s="36" t="s">
        <v>4908</v>
      </c>
      <c r="X22" s="36">
        <v>9909620343</v>
      </c>
      <c r="Y22" s="36">
        <v>200</v>
      </c>
      <c r="Z22" s="36" t="s">
        <v>5083</v>
      </c>
      <c r="AA22" t="s">
        <v>5086</v>
      </c>
      <c r="AB22" s="36" t="s">
        <v>5094</v>
      </c>
    </row>
    <row r="23" spans="5:30" ht="15.75">
      <c r="O23" s="123"/>
      <c r="P23" s="11" t="s">
        <v>3997</v>
      </c>
      <c r="Q23" s="595" t="s">
        <v>1008</v>
      </c>
      <c r="R23" s="596" t="s">
        <v>1009</v>
      </c>
      <c r="S23" s="595" t="s">
        <v>1010</v>
      </c>
      <c r="T23" s="597" t="s">
        <v>1011</v>
      </c>
      <c r="W23" s="36" t="s">
        <v>4909</v>
      </c>
      <c r="X23" s="36">
        <v>9378807702</v>
      </c>
      <c r="Y23" s="36">
        <v>0</v>
      </c>
      <c r="Z23" s="36">
        <v>0</v>
      </c>
      <c r="AD23" t="s">
        <v>25</v>
      </c>
    </row>
    <row r="24" spans="5:30">
      <c r="O24" s="11"/>
      <c r="P24" s="11"/>
      <c r="Q24" s="595"/>
      <c r="R24" s="596"/>
      <c r="S24" s="595"/>
      <c r="T24" s="59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8" t="s">
        <v>6071</v>
      </c>
      <c r="C1" s="598"/>
      <c r="D1" s="598" t="s">
        <v>6072</v>
      </c>
      <c r="E1" s="59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2120</v>
      </c>
      <c r="H4" s="37">
        <f>C4*G4</f>
        <v>625400000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2120</v>
      </c>
      <c r="H19" s="37">
        <f>C19*G19</f>
        <v>27424320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2023-09-03T11:56:36Z</dcterms:modified>
</cp:coreProperties>
</file>