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691D28F7-2005-4A8D-A45C-8BF41AB83C17}"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42" i="63" l="1"/>
  <c r="D39" i="63"/>
  <c r="H39" i="63"/>
  <c r="M39" i="63" s="1"/>
  <c r="D44" i="63"/>
  <c r="H44" i="63" s="1"/>
  <c r="M44" i="63" s="1"/>
  <c r="D43" i="63"/>
  <c r="H43" i="63" s="1"/>
  <c r="M43" i="63" s="1"/>
  <c r="D37" i="63"/>
  <c r="H37" i="63" s="1"/>
  <c r="D38" i="63"/>
  <c r="H38" i="63" s="1"/>
  <c r="M38" i="63" s="1"/>
  <c r="I39" i="63" l="1"/>
  <c r="J39" i="63" s="1"/>
  <c r="K39" i="63" s="1"/>
  <c r="L39" i="63" s="1"/>
  <c r="I44" i="63"/>
  <c r="J44" i="63" s="1"/>
  <c r="K44" i="63" s="1"/>
  <c r="L44" i="63" s="1"/>
  <c r="I43" i="63"/>
  <c r="J43" i="63" s="1"/>
  <c r="K43" i="63" s="1"/>
  <c r="L43" i="63" s="1"/>
  <c r="I38" i="63"/>
  <c r="J38" i="63" s="1"/>
  <c r="K38" i="63" s="1"/>
  <c r="L38" i="63" s="1"/>
  <c r="I37" i="63"/>
  <c r="J37" i="63" s="1"/>
  <c r="K37" i="63" s="1"/>
  <c r="L37" i="63" s="1"/>
  <c r="M37" i="63"/>
  <c r="D63" i="63"/>
  <c r="H63" i="63" s="1"/>
  <c r="M63" i="63" s="1"/>
  <c r="D57" i="63"/>
  <c r="H57" i="63" s="1"/>
  <c r="M57" i="63" s="1"/>
  <c r="D36" i="63"/>
  <c r="H36" i="63" s="1"/>
  <c r="I36" i="63" s="1"/>
  <c r="J36" i="63" s="1"/>
  <c r="K36" i="63" s="1"/>
  <c r="L36" i="63" s="1"/>
  <c r="D62" i="63"/>
  <c r="H62" i="63" s="1"/>
  <c r="M62" i="63" s="1"/>
  <c r="D56" i="63"/>
  <c r="H56" i="63" s="1"/>
  <c r="M56" i="63" s="1"/>
  <c r="D50" i="63"/>
  <c r="H50" i="63" s="1"/>
  <c r="M50" i="63" s="1"/>
  <c r="D42" i="63"/>
  <c r="H42" i="63" s="1"/>
  <c r="M42" i="63" s="1"/>
  <c r="D23" i="63"/>
  <c r="H35" i="63"/>
  <c r="M35" i="63" s="1"/>
  <c r="D34" i="63"/>
  <c r="H34" i="63" s="1"/>
  <c r="M34" i="63" s="1"/>
  <c r="I63" i="63" l="1"/>
  <c r="J63" i="63" s="1"/>
  <c r="K63" i="63" s="1"/>
  <c r="L63" i="63" s="1"/>
  <c r="I57" i="63"/>
  <c r="J57" i="63" s="1"/>
  <c r="K57" i="63" s="1"/>
  <c r="L57" i="63" s="1"/>
  <c r="M36" i="63"/>
  <c r="I62" i="63"/>
  <c r="J62" i="63" s="1"/>
  <c r="K62" i="63" s="1"/>
  <c r="L62" i="63" s="1"/>
  <c r="I56" i="63"/>
  <c r="J56" i="63" s="1"/>
  <c r="K56" i="63" s="1"/>
  <c r="L56" i="63" s="1"/>
  <c r="I50" i="63"/>
  <c r="J50" i="63" s="1"/>
  <c r="K50" i="63" s="1"/>
  <c r="L50" i="63" s="1"/>
  <c r="I42" i="63"/>
  <c r="J42" i="63" s="1"/>
  <c r="K42" i="63" s="1"/>
  <c r="L42" i="63" s="1"/>
  <c r="I35" i="63"/>
  <c r="J35" i="63" s="1"/>
  <c r="K35" i="63" s="1"/>
  <c r="L35" i="63" s="1"/>
  <c r="I34" i="63"/>
  <c r="J34" i="63" s="1"/>
  <c r="K34" i="63" s="1"/>
  <c r="L34" i="63" s="1"/>
  <c r="D40" i="63"/>
  <c r="D33" i="63"/>
  <c r="D41" i="63"/>
  <c r="H41" i="63" s="1"/>
  <c r="M41" i="63" s="1"/>
  <c r="I41" i="63" l="1"/>
  <c r="J41" i="63" s="1"/>
  <c r="K41" i="63" s="1"/>
  <c r="L41"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3" i="63"/>
  <c r="D49" i="63"/>
  <c r="H49" i="63" s="1"/>
  <c r="D55" i="63"/>
  <c r="H55" i="63" s="1"/>
  <c r="M55" i="63" s="1"/>
  <c r="D61" i="63"/>
  <c r="H61" i="63" s="1"/>
  <c r="M61" i="63" s="1"/>
  <c r="D67" i="63"/>
  <c r="H67" i="63" s="1"/>
  <c r="M67" i="63" s="1"/>
  <c r="D32" i="63"/>
  <c r="H32" i="63" s="1"/>
  <c r="M32" i="63" s="1"/>
  <c r="D66" i="63"/>
  <c r="D65" i="63"/>
  <c r="D64" i="63"/>
  <c r="D60" i="63"/>
  <c r="D59" i="63"/>
  <c r="D58" i="63"/>
  <c r="D54" i="63"/>
  <c r="D53" i="63"/>
  <c r="D52" i="63"/>
  <c r="D51" i="63"/>
  <c r="D48" i="63"/>
  <c r="H48" i="63" s="1"/>
  <c r="D47" i="63"/>
  <c r="H47" i="63" s="1"/>
  <c r="D46" i="63"/>
  <c r="H46" i="63" s="1"/>
  <c r="D45" i="63"/>
  <c r="H45" i="63" s="1"/>
  <c r="D31" i="63"/>
  <c r="D30" i="63"/>
  <c r="D29" i="63"/>
  <c r="D28" i="63"/>
  <c r="D27" i="63"/>
  <c r="D26" i="63"/>
  <c r="D25" i="63"/>
  <c r="D24" i="63"/>
  <c r="D22" i="63"/>
  <c r="M49" i="63"/>
  <c r="H40" i="63"/>
  <c r="M33" i="63" l="1"/>
  <c r="I33" i="63"/>
  <c r="J33" i="63" s="1"/>
  <c r="K33" i="63" s="1"/>
  <c r="P22" i="63"/>
  <c r="M40" i="63"/>
  <c r="Q22" i="63"/>
  <c r="J18" i="63"/>
  <c r="K18" i="63" s="1"/>
  <c r="E7" i="80"/>
  <c r="E8" i="80" s="1"/>
  <c r="I67" i="63"/>
  <c r="J67" i="63" s="1"/>
  <c r="K67" i="63" s="1"/>
  <c r="L67" i="63" s="1"/>
  <c r="I61" i="63"/>
  <c r="J61" i="63" s="1"/>
  <c r="K61" i="63" s="1"/>
  <c r="L61" i="63" s="1"/>
  <c r="I55" i="63"/>
  <c r="J55" i="63" s="1"/>
  <c r="K55" i="63" s="1"/>
  <c r="L55" i="63" s="1"/>
  <c r="I49" i="63"/>
  <c r="J49" i="63" s="1"/>
  <c r="K49" i="63" s="1"/>
  <c r="L49" i="63" s="1"/>
  <c r="I40" i="63"/>
  <c r="J40" i="63" s="1"/>
  <c r="K40" i="63" s="1"/>
  <c r="L40" i="63" s="1"/>
  <c r="I32" i="63"/>
  <c r="J32" i="63" s="1"/>
  <c r="K32" i="63" s="1"/>
  <c r="L32" i="63" s="1"/>
  <c r="D21" i="63"/>
  <c r="Q42" i="63" s="1"/>
  <c r="P23" i="63" l="1"/>
  <c r="P26" i="63" s="1"/>
  <c r="L33" i="63"/>
  <c r="H66" i="63"/>
  <c r="I66" i="63" s="1"/>
  <c r="H60" i="63"/>
  <c r="M60" i="63" s="1"/>
  <c r="H54" i="63"/>
  <c r="I54" i="63" s="1"/>
  <c r="H31" i="63"/>
  <c r="M31" i="63" s="1"/>
  <c r="P34" i="63"/>
  <c r="J66" i="63" l="1"/>
  <c r="K66" i="63" s="1"/>
  <c r="L66" i="63" s="1"/>
  <c r="J54" i="63"/>
  <c r="K54" i="63" s="1"/>
  <c r="L54" i="63" s="1"/>
  <c r="M48" i="63"/>
  <c r="I48" i="63"/>
  <c r="J48" i="63" s="1"/>
  <c r="K48" i="63" s="1"/>
  <c r="L48" i="63" s="1"/>
  <c r="M66" i="63"/>
  <c r="I60" i="63"/>
  <c r="M54" i="63"/>
  <c r="I31" i="63"/>
  <c r="J31" i="63" s="1"/>
  <c r="K31" i="63" s="1"/>
  <c r="L31" i="63" s="1"/>
  <c r="H30" i="63"/>
  <c r="M30" i="63" s="1"/>
  <c r="Q43" i="63"/>
  <c r="J60" i="63" l="1"/>
  <c r="K60" i="63" s="1"/>
  <c r="L60" i="63" s="1"/>
  <c r="I30" i="63"/>
  <c r="J30" i="63" s="1"/>
  <c r="K30" i="63" s="1"/>
  <c r="L30" i="63" s="1"/>
  <c r="H29" i="63"/>
  <c r="M29" i="63" s="1"/>
  <c r="M47" i="63"/>
  <c r="H51" i="63"/>
  <c r="M51" i="63" s="1"/>
  <c r="H52" i="63"/>
  <c r="M52" i="63" s="1"/>
  <c r="H53" i="63"/>
  <c r="I53" i="63" s="1"/>
  <c r="J53" i="63" s="1"/>
  <c r="K53" i="63" s="1"/>
  <c r="L53" i="63" s="1"/>
  <c r="H58" i="63"/>
  <c r="M58" i="63" s="1"/>
  <c r="H59" i="63"/>
  <c r="M59" i="63" s="1"/>
  <c r="H65" i="63"/>
  <c r="M65" i="63" s="1"/>
  <c r="H38" i="18"/>
  <c r="I2" i="63"/>
  <c r="M53" i="63" l="1"/>
  <c r="I29" i="63"/>
  <c r="J29" i="63" s="1"/>
  <c r="K29" i="63" s="1"/>
  <c r="L29" i="63" s="1"/>
  <c r="I47" i="63"/>
  <c r="J47" i="63" s="1"/>
  <c r="K47" i="63" s="1"/>
  <c r="L47" i="63" s="1"/>
  <c r="I65" i="63"/>
  <c r="J65" i="63" s="1"/>
  <c r="K65" i="63" s="1"/>
  <c r="L65" i="63" s="1"/>
  <c r="I1" i="63"/>
  <c r="F38" i="18"/>
  <c r="H28" i="63" l="1"/>
  <c r="M28" i="63" s="1"/>
  <c r="I28" i="63" l="1"/>
  <c r="J28" i="63" s="1"/>
  <c r="K28" i="63" s="1"/>
  <c r="L28" i="63" s="1"/>
  <c r="H64" i="63"/>
  <c r="M64" i="63" s="1"/>
  <c r="M46" i="63"/>
  <c r="H17" i="63"/>
  <c r="I17" i="63"/>
  <c r="G17" i="63"/>
  <c r="I64" i="63" l="1"/>
  <c r="J64" i="63" s="1"/>
  <c r="K64" i="63" s="1"/>
  <c r="L64" i="63" s="1"/>
  <c r="I46" i="63"/>
  <c r="J46" i="63" s="1"/>
  <c r="K46" i="63" s="1"/>
  <c r="L46" i="63" s="1"/>
  <c r="I59" i="63"/>
  <c r="J59" i="63" s="1"/>
  <c r="K59" i="63" s="1"/>
  <c r="L59" i="63" s="1"/>
  <c r="I52" i="63"/>
  <c r="J52" i="63" s="1"/>
  <c r="K52" i="63" s="1"/>
  <c r="L52" i="63" s="1"/>
  <c r="J17" i="63"/>
  <c r="K17" i="63" s="1"/>
  <c r="M45" i="63"/>
  <c r="H27" i="63"/>
  <c r="M27" i="63" s="1"/>
  <c r="H22" i="63"/>
  <c r="M22" i="63" s="1"/>
  <c r="I51" i="63" l="1"/>
  <c r="J51" i="63" s="1"/>
  <c r="K51" i="63" s="1"/>
  <c r="L51" i="63" s="1"/>
  <c r="I45" i="63"/>
  <c r="J45" i="63" s="1"/>
  <c r="K45" i="63" s="1"/>
  <c r="L45" i="63" s="1"/>
  <c r="I58" i="63"/>
  <c r="J58" i="63" s="1"/>
  <c r="K58" i="63" s="1"/>
  <c r="L58"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8" i="18" l="1"/>
  <c r="M3" i="60" l="1"/>
  <c r="M4" i="60"/>
  <c r="M5" i="60"/>
  <c r="M6" i="60"/>
  <c r="M7" i="60"/>
  <c r="M8" i="60"/>
  <c r="M2" i="60"/>
  <c r="H13" i="18" l="1"/>
  <c r="G15" i="63"/>
  <c r="H15" i="63"/>
  <c r="G14" i="63" l="1"/>
  <c r="H14" i="63"/>
  <c r="B128" i="18"/>
  <c r="G13" i="63"/>
  <c r="H13" i="63"/>
  <c r="G12" i="63"/>
  <c r="H12" i="63"/>
  <c r="G11" i="63"/>
  <c r="H11" i="63"/>
  <c r="B126" i="18"/>
  <c r="H10" i="63" l="1"/>
  <c r="G10" i="63"/>
  <c r="D6" i="18"/>
  <c r="J79" i="63"/>
  <c r="K79" i="63" s="1"/>
  <c r="L79" i="63" s="1"/>
  <c r="M79" i="63" s="1"/>
  <c r="H2" i="63"/>
  <c r="G2" i="63"/>
  <c r="H9" i="63"/>
  <c r="G9" i="63"/>
  <c r="N74" i="63" l="1"/>
  <c r="O74" i="63" s="1"/>
  <c r="J2" i="63"/>
  <c r="K2" i="63" s="1"/>
  <c r="H8" i="63"/>
  <c r="G8" i="63"/>
  <c r="H7" i="63"/>
  <c r="G7" i="63"/>
  <c r="H1" i="63"/>
  <c r="G1" i="63"/>
  <c r="P74" i="63" l="1"/>
  <c r="Q74" i="63"/>
  <c r="S74" i="63" s="1"/>
  <c r="J1" i="63"/>
  <c r="K1" i="63" s="1"/>
  <c r="J78" i="63"/>
  <c r="K78" i="63" s="1"/>
  <c r="L78" i="63" s="1"/>
  <c r="M78" i="63" s="1"/>
  <c r="N73" i="63" l="1"/>
  <c r="O73" i="63" s="1"/>
  <c r="R504" i="18"/>
  <c r="Q73" i="63" l="1"/>
  <c r="S73" i="63" s="1"/>
  <c r="P73" i="63"/>
  <c r="R503" i="18"/>
  <c r="P3" i="63" l="1"/>
  <c r="O33" i="63" l="1"/>
  <c r="I15" i="63" s="1"/>
  <c r="J15" i="63" s="1"/>
  <c r="K15" i="63" s="1"/>
  <c r="F33" i="18"/>
  <c r="I70" i="63"/>
  <c r="H70" i="63"/>
  <c r="G70"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70" i="63"/>
  <c r="K70" i="63" s="1"/>
  <c r="C129" i="18"/>
  <c r="D26" i="18"/>
  <c r="B26" i="18" s="1"/>
  <c r="B24" i="18"/>
  <c r="J80" i="63" l="1"/>
  <c r="K80" i="63" s="1"/>
  <c r="L80" i="63" s="1"/>
  <c r="M80" i="63" s="1"/>
  <c r="T23" i="63"/>
  <c r="N75" i="63" l="1"/>
  <c r="O75" i="63" s="1"/>
  <c r="Q75" i="63" l="1"/>
  <c r="S75" i="63" s="1"/>
  <c r="P75"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81" i="63"/>
  <c r="K81" i="63" s="1"/>
  <c r="L81" i="63" s="1"/>
  <c r="M81" i="63" l="1"/>
  <c r="N76" i="63" s="1"/>
  <c r="O76" i="63" s="1"/>
  <c r="B36" i="80"/>
  <c r="P76" i="63" l="1"/>
  <c r="Q76" i="63"/>
  <c r="S76"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82" i="63"/>
  <c r="K82" i="63" s="1"/>
  <c r="L82" i="63" s="1"/>
  <c r="M8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77" i="63"/>
  <c r="O77"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77" i="63"/>
  <c r="Q77" i="63"/>
  <c r="S77" i="63" s="1"/>
  <c r="R499" i="18"/>
  <c r="C131" i="18" l="1"/>
  <c r="B127" i="18"/>
  <c r="B125" i="18"/>
  <c r="S20" i="63"/>
  <c r="R498" i="18" l="1"/>
  <c r="R497" i="18"/>
  <c r="R496" i="18" l="1"/>
  <c r="T25" i="63"/>
  <c r="T26" i="63"/>
  <c r="E29" i="80" l="1"/>
  <c r="E28" i="80"/>
  <c r="S80"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13" i="63" l="1"/>
  <c r="H113" i="63"/>
  <c r="I113" i="63"/>
  <c r="G114" i="63"/>
  <c r="H114" i="63"/>
  <c r="I114" i="63"/>
  <c r="H112" i="63"/>
  <c r="I112" i="63"/>
  <c r="G112" i="63"/>
  <c r="I111" i="63"/>
  <c r="G111" i="63"/>
  <c r="H111" i="63"/>
  <c r="J112" i="63" l="1"/>
  <c r="K112" i="63" s="1"/>
  <c r="J111" i="63"/>
  <c r="K111" i="63" s="1"/>
  <c r="J114" i="63"/>
  <c r="K114" i="63" s="1"/>
  <c r="J113" i="63"/>
  <c r="K113" i="63" s="1"/>
  <c r="R467" i="18"/>
  <c r="R461" i="18"/>
  <c r="K9" i="18"/>
  <c r="K10" i="18" s="1"/>
  <c r="H10" i="18"/>
  <c r="H9" i="18"/>
  <c r="R455" i="18"/>
  <c r="R454" i="18"/>
  <c r="R469" i="18" l="1"/>
  <c r="R468" i="18" l="1"/>
  <c r="I108" i="63"/>
  <c r="G108" i="63"/>
  <c r="H108" i="63"/>
  <c r="J108" i="63" l="1"/>
  <c r="K108" i="63" s="1"/>
  <c r="I110" i="63"/>
  <c r="G110" i="63" l="1"/>
  <c r="H110" i="63"/>
  <c r="J110" i="63" s="1"/>
  <c r="K110" i="63" s="1"/>
  <c r="I109" i="63"/>
  <c r="G109" i="63"/>
  <c r="H109" i="63"/>
  <c r="G105" i="63"/>
  <c r="H105" i="63"/>
  <c r="I105" i="63"/>
  <c r="I107" i="63"/>
  <c r="H107" i="63"/>
  <c r="G107" i="63"/>
  <c r="I104" i="63"/>
  <c r="J105" i="63" l="1"/>
  <c r="K105" i="63" s="1"/>
  <c r="J109" i="63"/>
  <c r="K109" i="63" s="1"/>
  <c r="J107" i="63"/>
  <c r="K107" i="63" s="1"/>
  <c r="G104" i="63" l="1"/>
  <c r="H104" i="63"/>
  <c r="J104" i="63" s="1"/>
  <c r="K104" i="63" s="1"/>
  <c r="I102" i="63"/>
  <c r="H102" i="63"/>
  <c r="G102" i="63"/>
  <c r="I99" i="63"/>
  <c r="H99" i="63"/>
  <c r="G99" i="63"/>
  <c r="I100" i="63"/>
  <c r="I103" i="63"/>
  <c r="I106" i="63"/>
  <c r="H100" i="63"/>
  <c r="H103" i="63"/>
  <c r="G100" i="63"/>
  <c r="G103" i="63"/>
  <c r="G106" i="63"/>
  <c r="H106" i="63"/>
  <c r="I101" i="63"/>
  <c r="I94" i="63"/>
  <c r="I115" i="63"/>
  <c r="G115" i="63"/>
  <c r="I98" i="63"/>
  <c r="G98" i="63"/>
  <c r="H98" i="63"/>
  <c r="J99" i="63" l="1"/>
  <c r="K99" i="63" s="1"/>
  <c r="J100" i="63"/>
  <c r="K100" i="63" s="1"/>
  <c r="J102" i="63"/>
  <c r="K102" i="63" s="1"/>
  <c r="J106" i="63"/>
  <c r="K106" i="63" s="1"/>
  <c r="J103" i="63"/>
  <c r="K103" i="63" s="1"/>
  <c r="J98" i="63"/>
  <c r="K98" i="63" s="1"/>
  <c r="I97" i="63"/>
  <c r="R466" i="18"/>
  <c r="G96" i="63" l="1"/>
  <c r="H96" i="63"/>
  <c r="I96" i="63"/>
  <c r="G97" i="63"/>
  <c r="H97" i="63"/>
  <c r="G101" i="63"/>
  <c r="H101" i="63"/>
  <c r="H115" i="63"/>
  <c r="I95" i="63"/>
  <c r="H95" i="63"/>
  <c r="G95" i="63"/>
  <c r="H94" i="63"/>
  <c r="G94" i="63"/>
  <c r="J115" i="63" l="1"/>
  <c r="K115" i="63" s="1"/>
  <c r="J96" i="63"/>
  <c r="K96" i="63" s="1"/>
  <c r="J94" i="63"/>
  <c r="K94" i="63" s="1"/>
  <c r="J101" i="63"/>
  <c r="K101" i="63" s="1"/>
  <c r="J95" i="63"/>
  <c r="K95" i="63" s="1"/>
  <c r="J97" i="63"/>
  <c r="K9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18" i="63" l="1"/>
  <c r="H118" i="63"/>
  <c r="I118" i="63"/>
  <c r="G121" i="63"/>
  <c r="H121" i="63"/>
  <c r="I121" i="63"/>
  <c r="J121" i="63" l="1"/>
  <c r="K121" i="63" s="1"/>
  <c r="J118" i="63"/>
  <c r="K118" i="63" s="1"/>
  <c r="R458" i="18"/>
  <c r="R457" i="18" l="1"/>
  <c r="I4" i="60" l="1"/>
  <c r="I3" i="60"/>
  <c r="B6" i="18" l="1"/>
  <c r="I18" i="60"/>
  <c r="G91" i="63" l="1"/>
  <c r="I91" i="63"/>
  <c r="H91" i="63"/>
  <c r="J91" i="63" l="1"/>
  <c r="K9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6" i="63"/>
  <c r="I147" i="63"/>
  <c r="G147" i="63"/>
  <c r="H147" i="63"/>
  <c r="G146" i="63"/>
  <c r="H146" i="63"/>
  <c r="J147" i="63" l="1"/>
  <c r="K147" i="63" s="1"/>
  <c r="J146" i="63"/>
  <c r="K14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5" i="63"/>
  <c r="H145" i="63"/>
  <c r="I143" i="63"/>
  <c r="I144" i="63"/>
  <c r="I145" i="63"/>
  <c r="I149" i="63"/>
  <c r="J149" i="63" s="1"/>
  <c r="K149" i="63" s="1"/>
  <c r="G144" i="63"/>
  <c r="H144" i="63"/>
  <c r="D5" i="18"/>
  <c r="J145" i="63" l="1"/>
  <c r="K145" i="63" s="1"/>
  <c r="J144" i="63"/>
  <c r="K144" i="63" s="1"/>
  <c r="I142" i="63"/>
  <c r="G143" i="63"/>
  <c r="H143" i="63"/>
  <c r="I140" i="63"/>
  <c r="I141" i="63"/>
  <c r="G142" i="63"/>
  <c r="H142" i="63"/>
  <c r="J143" i="63" l="1"/>
  <c r="K143" i="63" s="1"/>
  <c r="J142" i="63"/>
  <c r="K142" i="63" s="1"/>
  <c r="R435" i="18" l="1"/>
  <c r="H140" i="63"/>
  <c r="H141" i="63"/>
  <c r="G141" i="63"/>
  <c r="J141" i="63" l="1"/>
  <c r="K141" i="63" s="1"/>
  <c r="J140" i="63"/>
  <c r="K14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3" i="63" l="1"/>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J133" i="63" l="1"/>
  <c r="K133" i="63" s="1"/>
  <c r="J132" i="63"/>
  <c r="K132" i="63" s="1"/>
  <c r="J127" i="63"/>
  <c r="K127" i="63" s="1"/>
  <c r="J126" i="63"/>
  <c r="K126" i="63" s="1"/>
  <c r="J123" i="63"/>
  <c r="K123" i="63" s="1"/>
  <c r="J135" i="63"/>
  <c r="K135" i="63" s="1"/>
  <c r="J134" i="63"/>
  <c r="K134" i="63" s="1"/>
  <c r="J129" i="63"/>
  <c r="K129" i="63" s="1"/>
  <c r="J128" i="63"/>
  <c r="K128" i="63" s="1"/>
  <c r="J136" i="63"/>
  <c r="K136" i="63" s="1"/>
  <c r="J131" i="63"/>
  <c r="K131" i="63" s="1"/>
  <c r="J130" i="63"/>
  <c r="K130" i="63" s="1"/>
  <c r="J125" i="63"/>
  <c r="K125" i="63" s="1"/>
  <c r="J137" i="63"/>
  <c r="K137" i="63" s="1"/>
  <c r="J139" i="63"/>
  <c r="K139" i="63" s="1"/>
  <c r="J138" i="63"/>
  <c r="K138" i="63" s="1"/>
  <c r="J124" i="63"/>
  <c r="K124" i="63" s="1"/>
  <c r="G122" i="63"/>
  <c r="H122" i="63"/>
  <c r="I122" i="63"/>
  <c r="J122" i="63" l="1"/>
  <c r="K12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2" i="63"/>
  <c r="R373" i="18"/>
  <c r="D101" i="72" l="1"/>
  <c r="E102" i="72"/>
  <c r="R372" i="18"/>
  <c r="D100" i="72" l="1"/>
  <c r="E101" i="72"/>
  <c r="E100" i="72" l="1"/>
  <c r="D99" i="72"/>
  <c r="E99" i="72" l="1"/>
  <c r="D98" i="72"/>
  <c r="E98" i="72" l="1"/>
  <c r="D97" i="72"/>
  <c r="D171" i="63"/>
  <c r="E171" i="63"/>
  <c r="G171" i="63" s="1"/>
  <c r="D172" i="63"/>
  <c r="G172" i="63"/>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D190" i="63"/>
  <c r="E190" i="63"/>
  <c r="D191" i="63"/>
  <c r="E191" i="63"/>
  <c r="D192" i="63"/>
  <c r="E192" i="63"/>
  <c r="E170" i="63"/>
  <c r="G170" i="63" s="1"/>
  <c r="D17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<sst xmlns="http://schemas.openxmlformats.org/spreadsheetml/2006/main" count="17173" uniqueCount="7073">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</sst>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19082806320</c:v>
                </c:pt>
                <c:pt idx="1">
                  <c:v>0</c:v>
                </c:pt>
                <c:pt idx="2">
                  <c:v>209929464</c:v>
                </c:pt>
                <c:pt idx="3">
                  <c:v>107931636</c:v>
                </c:pt>
                <c:pt idx="4">
                  <c:v>473385000</c:v>
                </c:pt>
                <c:pt idx="5">
                  <c:v>515889000</c:v>
                </c:pt>
                <c:pt idx="6">
                  <c:v>0</c:v>
                </c:pt>
                <c:pt idx="7">
                  <c:v>9009367900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B1*100/$C$35</f>
        <v>8.3362343848973858E-4</v>
      </c>
      <c r="F1" s="11"/>
      <c r="G1" s="279" t="s">
        <v>4406</v>
      </c>
      <c r="H1" s="1">
        <f>SUM(B20:B32)</f>
        <v>14511759039.11628</v>
      </c>
      <c r="J1" s="207" t="s">
        <v>4315</v>
      </c>
      <c r="K1" s="207" t="s">
        <v>4326</v>
      </c>
      <c r="L1" s="207" t="s">
        <v>4327</v>
      </c>
      <c r="M1" s="355" t="s">
        <v>25</v>
      </c>
      <c r="N1" s="355" t="s">
        <v>25</v>
      </c>
      <c r="V1" t="s">
        <v>25</v>
      </c>
      <c r="Z1" t="s">
        <v>25</v>
      </c>
      <c r="AA1" t="s">
        <v>25</v>
      </c>
    </row>
    <row r="2" spans="1:27">
      <c r="A2" s="362" t="s">
        <v>6663</v>
      </c>
      <c r="B2" s="365">
        <f>C2*D2</f>
        <v>621508440</v>
      </c>
      <c r="C2" s="372">
        <v>291788</v>
      </c>
      <c r="D2" s="362">
        <f>D20</f>
        <v>2130</v>
      </c>
      <c r="E2" s="362">
        <f>B2*100/$C$35</f>
        <v>2.1106353969813112</v>
      </c>
      <c r="F2" s="11"/>
      <c r="G2" s="355" t="s">
        <v>4318</v>
      </c>
      <c r="H2" s="1">
        <f>SUM(B15:B17)</f>
        <v>4640418576</v>
      </c>
      <c r="I2">
        <f t="shared" ref="I2:I7" si="0">K2-$K$10</f>
        <v>1479980</v>
      </c>
      <c r="J2" s="207" t="s">
        <v>690</v>
      </c>
      <c r="K2" s="207">
        <v>1479980</v>
      </c>
      <c r="L2" s="276">
        <f t="shared" ref="L2:L7" si="1">K2*$O$516</f>
        <v>9212919997.6698132</v>
      </c>
      <c r="M2" s="355">
        <f t="shared" ref="M2:M7" si="2">L2*100/$L$10</f>
        <v>32.20522140736108</v>
      </c>
      <c r="N2" s="1">
        <f t="shared" ref="N2:N7" si="3">M2*0.01*$N$10</f>
        <v>345399767.74422872</v>
      </c>
    </row>
    <row r="3" spans="1:27">
      <c r="E3" s="518"/>
      <c r="F3" t="s">
        <v>25</v>
      </c>
      <c r="G3" s="355" t="s">
        <v>4319</v>
      </c>
      <c r="H3" s="1">
        <f>SUM(B11:B12)</f>
        <v>213000000</v>
      </c>
      <c r="I3">
        <f t="shared" si="0"/>
        <v>2572827</v>
      </c>
      <c r="J3" s="207" t="s">
        <v>4317</v>
      </c>
      <c r="K3" s="207">
        <v>2572827</v>
      </c>
      <c r="L3" s="276">
        <f t="shared" si="1"/>
        <v>16015925430.644222</v>
      </c>
      <c r="M3" s="355">
        <f t="shared" si="2"/>
        <v>55.986204663466125</v>
      </c>
      <c r="N3" s="1">
        <f t="shared" si="3"/>
        <v>600449903.54334581</v>
      </c>
    </row>
    <row r="4" spans="1:27">
      <c r="A4" s="360" t="s">
        <v>6592</v>
      </c>
      <c r="B4" s="469">
        <v>1843229398</v>
      </c>
      <c r="C4" s="373"/>
      <c r="D4" s="469"/>
      <c r="E4" s="362">
        <f>B4*100/$C$35</f>
        <v>6.259585488775266</v>
      </c>
      <c r="F4" s="11"/>
      <c r="G4" s="355" t="s">
        <v>6834</v>
      </c>
      <c r="H4" s="1">
        <f>SUM(B5:B8)</f>
        <v>450454944</v>
      </c>
      <c r="I4">
        <f t="shared" si="0"/>
        <v>41446</v>
      </c>
      <c r="J4" s="207" t="s">
        <v>4316</v>
      </c>
      <c r="K4" s="207">
        <v>41446</v>
      </c>
      <c r="L4" s="276">
        <f t="shared" si="1"/>
        <v>258002596.13199037</v>
      </c>
      <c r="M4" s="355">
        <f t="shared" si="2"/>
        <v>0.90188894880301584</v>
      </c>
      <c r="N4" s="1">
        <f t="shared" si="3"/>
        <v>9672724.4786600526</v>
      </c>
    </row>
    <row r="5" spans="1:27">
      <c r="A5" s="360" t="s">
        <v>6593</v>
      </c>
      <c r="B5" s="469">
        <f t="shared" ref="B5:B7" si="4">C5*D5</f>
        <v>340838340</v>
      </c>
      <c r="C5" s="373">
        <v>160018</v>
      </c>
      <c r="D5" s="360">
        <f>D20</f>
        <v>2130</v>
      </c>
      <c r="E5" s="362">
        <f>B5*100/$C$35</f>
        <v>1.1574830183357625</v>
      </c>
      <c r="F5" s="11"/>
      <c r="G5" s="355" t="s">
        <v>6835</v>
      </c>
      <c r="H5" s="1">
        <f>SUM(B2:B2)</f>
        <v>621508440</v>
      </c>
      <c r="I5">
        <f t="shared" si="0"/>
        <v>120081</v>
      </c>
      <c r="J5" s="207" t="s">
        <v>1005</v>
      </c>
      <c r="K5" s="207">
        <v>120081</v>
      </c>
      <c r="L5" s="276">
        <f t="shared" si="1"/>
        <v>747507835.40330875</v>
      </c>
      <c r="M5" s="355">
        <f t="shared" si="2"/>
        <v>2.6130320624720103</v>
      </c>
      <c r="N5" s="1">
        <f t="shared" si="3"/>
        <v>28024668.92153592</v>
      </c>
      <c r="T5" t="s">
        <v>25</v>
      </c>
      <c r="U5" t="s">
        <v>25</v>
      </c>
    </row>
    <row r="6" spans="1:27">
      <c r="A6" s="360" t="s">
        <v>7026</v>
      </c>
      <c r="B6" s="469">
        <f t="shared" si="4"/>
        <v>1039968</v>
      </c>
      <c r="C6" s="373">
        <v>2512</v>
      </c>
      <c r="D6" s="360">
        <f>'خرید و فروش نسبتی'!O34</f>
        <v>414</v>
      </c>
      <c r="E6" s="362">
        <f>B6*100/$C$35</f>
        <v>3.5317191710668647E-3</v>
      </c>
      <c r="F6" s="205"/>
      <c r="G6" s="355" t="s">
        <v>4320</v>
      </c>
      <c r="H6" s="1">
        <f>B19</f>
        <v>538102</v>
      </c>
      <c r="I6" s="379">
        <f t="shared" si="0"/>
        <v>287123</v>
      </c>
      <c r="J6" s="207" t="s">
        <v>5281</v>
      </c>
      <c r="K6" s="207">
        <v>287123</v>
      </c>
      <c r="L6" s="276">
        <f t="shared" si="1"/>
        <v>1787349307.7548008</v>
      </c>
      <c r="M6" s="387">
        <f t="shared" si="2"/>
        <v>6.2479626658101708</v>
      </c>
      <c r="N6" s="1">
        <f t="shared" si="3"/>
        <v>67009160.606242113</v>
      </c>
    </row>
    <row r="7" spans="1:27">
      <c r="A7" s="360" t="s">
        <v>4716</v>
      </c>
      <c r="B7" s="469">
        <f t="shared" si="4"/>
        <v>107931636</v>
      </c>
      <c r="C7" s="373">
        <v>6582</v>
      </c>
      <c r="D7" s="360">
        <f>'خرید و فروش نسبتی'!O38</f>
        <v>16398</v>
      </c>
      <c r="E7" s="362">
        <f>B7*100/$C$35</f>
        <v>0.3665345741655614</v>
      </c>
      <c r="F7" s="352"/>
      <c r="G7" s="355" t="s">
        <v>4321</v>
      </c>
      <c r="H7" s="1">
        <f>B14</f>
        <v>6006475535</v>
      </c>
      <c r="I7" s="379">
        <f t="shared" si="0"/>
        <v>94009</v>
      </c>
      <c r="J7" s="207" t="s">
        <v>6833</v>
      </c>
      <c r="K7" s="207">
        <v>94009</v>
      </c>
      <c r="L7" s="276">
        <f t="shared" si="1"/>
        <v>585208851.51214314</v>
      </c>
      <c r="M7" s="387">
        <f t="shared" si="2"/>
        <v>2.0456902520876015</v>
      </c>
      <c r="N7" s="1">
        <f t="shared" si="3"/>
        <v>21939949.705987383</v>
      </c>
      <c r="T7" t="s">
        <v>25</v>
      </c>
    </row>
    <row r="8" spans="1:27">
      <c r="A8" s="340" t="s">
        <v>6911</v>
      </c>
      <c r="B8" s="469">
        <f>C8*D8</f>
        <v>645000</v>
      </c>
      <c r="C8" s="373">
        <v>5000</v>
      </c>
      <c r="D8" s="360">
        <f>D27</f>
        <v>129</v>
      </c>
      <c r="E8" s="362">
        <f>B8*100/$C$35</f>
        <v>2.1904124601315883E-3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1843229398</v>
      </c>
      <c r="J9" s="207"/>
      <c r="K9" s="207">
        <f>SUM(K2:K7)</f>
        <v>4595466</v>
      </c>
      <c r="L9" s="207"/>
      <c r="M9" s="1" t="s">
        <v>25</v>
      </c>
      <c r="N9" s="355" t="s">
        <v>25</v>
      </c>
      <c r="U9" t="s">
        <v>25</v>
      </c>
    </row>
    <row r="10" spans="1:27">
      <c r="A10" s="359" t="s">
        <v>4323</v>
      </c>
      <c r="B10" s="358">
        <v>1158879392</v>
      </c>
      <c r="C10" s="375"/>
      <c r="D10" s="359"/>
      <c r="E10" s="362">
        <f>B10*100/$C$35</f>
        <v>3.9355408682581694</v>
      </c>
      <c r="F10" s="205"/>
      <c r="G10" s="355" t="s">
        <v>6837</v>
      </c>
      <c r="H10" s="1">
        <f>B1</f>
        <v>245473</v>
      </c>
      <c r="I10" t="s">
        <v>25</v>
      </c>
      <c r="J10" s="207"/>
      <c r="K10" s="207">
        <f>K9-P513</f>
        <v>0</v>
      </c>
      <c r="L10" s="276">
        <f>SUM(L2:L7)</f>
        <v>28606914019.116276</v>
      </c>
      <c r="M10" s="355" t="s">
        <v>25</v>
      </c>
      <c r="N10" s="1">
        <v>1072496175</v>
      </c>
    </row>
    <row r="11" spans="1:27" ht="18" customHeight="1">
      <c r="A11" s="359" t="s">
        <v>4306</v>
      </c>
      <c r="B11" s="358">
        <f>C11*D11</f>
        <v>213000000</v>
      </c>
      <c r="C11" s="375">
        <v>100000</v>
      </c>
      <c r="D11" s="359">
        <f>D20</f>
        <v>2130</v>
      </c>
      <c r="E11" s="362">
        <f>B11*100/$C$35</f>
        <v>0.72334551008996639</v>
      </c>
      <c r="F11" s="205"/>
      <c r="G11" s="355" t="s">
        <v>7017</v>
      </c>
      <c r="H11" s="1">
        <f>-F33</f>
        <v>0</v>
      </c>
      <c r="I11" t="s">
        <v>25</v>
      </c>
      <c r="J11" s="207"/>
      <c r="K11" s="207" t="s">
        <v>5607</v>
      </c>
      <c r="L11" s="276">
        <f>H3+H8-L5</f>
        <v>624371556.59669125</v>
      </c>
      <c r="M11" s="355">
        <f>L11/L4</f>
        <v>2.4200204414891697</v>
      </c>
      <c r="N11" s="355" t="s">
        <v>25</v>
      </c>
      <c r="P11" t="s">
        <v>25</v>
      </c>
    </row>
    <row r="12" spans="1:27">
      <c r="A12" s="359" t="s">
        <v>4542</v>
      </c>
      <c r="B12" s="358">
        <f>C12*D12</f>
        <v>0</v>
      </c>
      <c r="C12" s="375">
        <v>0</v>
      </c>
      <c r="D12" s="359">
        <f>D22</f>
        <v>414</v>
      </c>
      <c r="E12" s="362">
        <f>B12*100/$C$35</f>
        <v>0</v>
      </c>
      <c r="F12" s="205"/>
      <c r="G12" s="355" t="s">
        <v>4922</v>
      </c>
      <c r="H12" s="1">
        <v>0</v>
      </c>
      <c r="I12" t="s">
        <v>25</v>
      </c>
      <c r="J12" s="207"/>
      <c r="K12" s="207" t="s">
        <v>5606</v>
      </c>
      <c r="L12" s="276">
        <f>L4-L11</f>
        <v>-366368960.46470088</v>
      </c>
      <c r="M12" s="355">
        <f>L12/L4</f>
        <v>-1.4200204414891695</v>
      </c>
      <c r="N12" s="355"/>
      <c r="U12" t="s">
        <v>25</v>
      </c>
    </row>
    <row r="13" spans="1:27">
      <c r="A13" s="19"/>
      <c r="B13" s="37"/>
      <c r="C13" s="343"/>
      <c r="D13" s="19"/>
      <c r="E13" s="518"/>
      <c r="F13" s="205"/>
      <c r="G13" s="355" t="s">
        <v>6770</v>
      </c>
      <c r="H13" s="1">
        <f>0</f>
        <v>0</v>
      </c>
      <c r="J13" s="207"/>
      <c r="K13" s="207" t="s">
        <v>6869</v>
      </c>
      <c r="L13" s="276">
        <f>H2+H7-L2-L12</f>
        <v>1800343073.7948878</v>
      </c>
      <c r="M13" s="355">
        <f t="shared" ref="M13:M15" si="5">L13/L5</f>
        <v>2.4084604716197182</v>
      </c>
      <c r="N13" s="355" t="s">
        <v>25</v>
      </c>
      <c r="T13" s="35"/>
    </row>
    <row r="14" spans="1:27" ht="34.5" customHeight="1">
      <c r="A14" s="363" t="s">
        <v>6756</v>
      </c>
      <c r="B14" s="364">
        <v>6006475535</v>
      </c>
      <c r="C14" s="374" t="s">
        <v>857</v>
      </c>
      <c r="D14" s="363" t="s">
        <v>3843</v>
      </c>
      <c r="E14" s="362">
        <f>B14*100/$C$35</f>
        <v>20.397920702852012</v>
      </c>
      <c r="F14" s="205"/>
      <c r="G14" s="279" t="s">
        <v>6997</v>
      </c>
      <c r="H14" s="1">
        <f>-373268*D20</f>
        <v>-795060840</v>
      </c>
      <c r="J14" s="207"/>
      <c r="K14" s="207" t="s">
        <v>6868</v>
      </c>
      <c r="L14" s="276">
        <f>H4+H9-L6</f>
        <v>506335034.2451992</v>
      </c>
      <c r="M14" s="355">
        <f t="shared" si="5"/>
        <v>0.28328823697100247</v>
      </c>
      <c r="N14" s="11" t="s">
        <v>25</v>
      </c>
      <c r="T14" s="35"/>
    </row>
    <row r="15" spans="1:27">
      <c r="A15" s="363" t="s">
        <v>4188</v>
      </c>
      <c r="B15" s="364">
        <f t="shared" ref="B15:B17" si="6">C15*D15</f>
        <v>4431712080</v>
      </c>
      <c r="C15" s="374">
        <v>2080616</v>
      </c>
      <c r="D15" s="363">
        <f>D20</f>
        <v>2130</v>
      </c>
      <c r="E15" s="362">
        <f>B15*100/$C$35</f>
        <v>15.050042418213454</v>
      </c>
      <c r="F15" s="205"/>
      <c r="G15" s="355" t="s">
        <v>6851</v>
      </c>
      <c r="H15" s="1">
        <f>-20908*D20</f>
        <v>-44534040</v>
      </c>
      <c r="J15" s="207"/>
      <c r="K15" s="207" t="s">
        <v>6870</v>
      </c>
      <c r="L15" s="276">
        <f>H5+H10-L7</f>
        <v>36545061.487856865</v>
      </c>
      <c r="M15" s="355">
        <f t="shared" si="5"/>
        <v>6.2447895983505218E-2</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f>B17*100/$C$35</f>
        <v>0.70657440823568785</v>
      </c>
      <c r="F17" s="205"/>
      <c r="G17" s="355" t="s">
        <v>4324</v>
      </c>
      <c r="H17" s="1">
        <f>SUM(H1:H16)</f>
        <v>28606914019.11628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f>B19*100/$C$35</f>
        <v>1.8273881017391131E-3</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13475747460</v>
      </c>
      <c r="C20" s="376">
        <v>6326642</v>
      </c>
      <c r="D20" s="361">
        <f>'خرید و فروش نسبتی'!O32</f>
        <v>2130</v>
      </c>
      <c r="E20" s="362">
        <f>B20*100/$C$35</f>
        <v>45.763480846466052</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B21*100/$C$35</f>
        <v>2.8204077799249786E-5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B22*100/$C$35</f>
        <v>2.8118783209131089E-3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8685000</v>
      </c>
      <c r="C24" s="376">
        <v>5000</v>
      </c>
      <c r="D24" s="361">
        <f>'خرید و فروش نسبتی'!O29</f>
        <v>1737</v>
      </c>
      <c r="E24" s="362">
        <f t="shared" ref="E24:E31" si="11">B24*100/$C$35</f>
        <v>2.9494158474795109E-2</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451620000</v>
      </c>
      <c r="C25" s="376">
        <v>260000</v>
      </c>
      <c r="D25" s="361">
        <f>IF(D24&gt;2800,2800,D24)</f>
        <v>1737</v>
      </c>
      <c r="E25" s="362">
        <f t="shared" si="11"/>
        <v>1.5336962406893457</v>
      </c>
      <c r="F25" s="365"/>
      <c r="G25" s="2" t="s">
        <v>4328</v>
      </c>
      <c r="H25" s="37">
        <f>-L13</f>
        <v>-1800343073.7948878</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55584000</v>
      </c>
      <c r="C26" s="376">
        <v>32000</v>
      </c>
      <c r="D26" s="361">
        <f>IF(D24&gt;2600,260,D24)</f>
        <v>1737</v>
      </c>
      <c r="E26" s="362">
        <f t="shared" si="11"/>
        <v>0.1887626142386887</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f t="shared" si="11"/>
        <v>2.1904124601315883E-2</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285</v>
      </c>
      <c r="E28" s="362">
        <f t="shared" si="11"/>
        <v>0</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473385000</v>
      </c>
      <c r="C29" s="376">
        <v>1661000</v>
      </c>
      <c r="D29" s="361">
        <f>IF(D28&gt;450,450,D28)</f>
        <v>285</v>
      </c>
      <c r="E29" s="362">
        <f t="shared" si="11"/>
        <v>1.6076099262626231</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f t="shared" si="11"/>
        <v>0</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f t="shared" si="11"/>
        <v>0</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f>SUM(F1:F30)</f>
        <v>0</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f>SUM(B1:B32)-F33</f>
        <v>29446508899.11628</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f>C35/D31</f>
        <v>590856.36974770308</v>
      </c>
      <c r="D37" s="371">
        <f>C35/D22</f>
        <v>71126833.089652851</v>
      </c>
      <c r="E37" s="371">
        <f>C35/D20</f>
        <v>13824652.065312807</v>
      </c>
      <c r="F37" s="371">
        <f>C35/D21</f>
        <v>35455865.889952965</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8959064</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f>D38/D37</f>
        <v>7.0938628655660089E-3</v>
      </c>
      <c r="E39" s="472">
        <f>E38/E37</f>
        <v>0.64804987190086549</v>
      </c>
      <c r="F39" s="472">
        <f>F38/F37</f>
        <v>2.820407779924978E-7</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f>D37*D35</f>
        <v>6401414978.0687571</v>
      </c>
      <c r="E40" s="371">
        <f>E37*E35</f>
        <v>4631258441.8797903</v>
      </c>
      <c r="F40" s="371">
        <f>F37*F35</f>
        <v>2836469271.1962371</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3001286440</v>
      </c>
      <c r="F41" s="371">
        <f>F38*F35</f>
        <v>800</v>
      </c>
      <c r="G41" s="2"/>
      <c r="H41" s="37"/>
      <c r="I41" s="588"/>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19082806320</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18120459540</v>
      </c>
      <c r="K55" s="471">
        <f>I55-J55</f>
        <v>201104540460</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7165893029</v>
      </c>
      <c r="K58" s="157">
        <f>I58-J58</f>
        <v>-7165893029</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8959064</v>
      </c>
      <c r="C124" s="479">
        <f>B124*D20</f>
        <v>19082806320</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473385000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515889000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9009367900</v>
      </c>
      <c r="C131" s="497">
        <f>B131</f>
        <v>9009367900</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14512297141.11628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14634386000.054716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14330127560.95594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10646894111</v>
      </c>
    </row>
    <row r="516" spans="13:42">
      <c r="O516" s="143">
        <f>H17/P513</f>
        <v>6225.0300663994203</v>
      </c>
      <c r="P516" s="35"/>
      <c r="Q516" s="35"/>
      <c r="R516" s="35"/>
      <c r="S516" s="35" t="s">
        <v>25</v>
      </c>
      <c r="T516" t="s">
        <v>25</v>
      </c>
      <c r="AB516" t="s">
        <v>25</v>
      </c>
      <c r="AK516" t="s">
        <v>4037</v>
      </c>
      <c r="AL516" s="7">
        <f>AL515-AL511</f>
        <v>10586882174.835819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10482524442.630346</v>
      </c>
      <c r="AO518" t="s">
        <v>25</v>
      </c>
      <c r="AP518" t="s">
        <v>25</v>
      </c>
    </row>
    <row r="519" spans="13:42">
      <c r="O519" s="76"/>
      <c r="P519" s="1">
        <v>6000000</v>
      </c>
      <c r="Q519" s="35">
        <f>P519/O516</f>
        <v>963.85076634182769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28606914019.11628</v>
      </c>
      <c r="Q529" s="26">
        <f>P529-O529</f>
        <v>26504534346.416241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7"/>
  <sheetViews>
    <sheetView tabSelected="1" topLeftCell="A38" zoomScale="85" zoomScaleNormal="85" workbookViewId="0">
      <selection activeCell="M62" sqref="M6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4.1603268884075328</v>
      </c>
      <c r="J1" s="438">
        <f t="shared" ref="J1" si="0">I1/H1</f>
        <v>1.0729796841148382</v>
      </c>
      <c r="K1" s="436">
        <f t="shared" ref="K1" si="1">(1/J1-1.0256)*100</f>
        <v>-9.3615904863141424</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4.1603268884075328</v>
      </c>
      <c r="J2" s="438">
        <f t="shared" ref="J2" si="2">I2/H2</f>
        <v>1.051360494896854</v>
      </c>
      <c r="K2" s="436">
        <f t="shared" ref="K2" si="3">(1/J2-1.0256)*100</f>
        <v>-7.4451459747774678</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0.38991156239764163</v>
      </c>
      <c r="J7" s="503">
        <f t="shared" ref="J7" si="7">I7/H7</f>
        <v>1.0104265582940146</v>
      </c>
      <c r="K7" s="557">
        <f t="shared" ref="K7" si="8">(1/J7-1.0256)*100</f>
        <v>-3.591896698323005</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0.38991156239764163</v>
      </c>
      <c r="J8" s="503">
        <f t="shared" ref="J8" si="9">I8/H8</f>
        <v>1.0104265582940146</v>
      </c>
      <c r="K8" s="557">
        <f t="shared" ref="K8" si="10">(1/J8-1.0256)*100</f>
        <v>-3.591896698323005</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0.38991156239764163</v>
      </c>
      <c r="J9" s="503">
        <f t="shared" ref="J9" si="11">I9/H9</f>
        <v>1.0331669285658016</v>
      </c>
      <c r="K9" s="557">
        <f t="shared" ref="K9" si="12">(1/J9-1.0256)*100</f>
        <v>-5.7702197281752525</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0.38991156239764163</v>
      </c>
      <c r="J10" s="503">
        <f t="shared" ref="J10" si="13">I10/H10</f>
        <v>1.0330188608838784</v>
      </c>
      <c r="K10" s="557">
        <f t="shared" ref="K10" si="14">(1/J10-1.0256)*100</f>
        <v>-5.7563463721878811</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0.38991156239764163</v>
      </c>
      <c r="J11" s="503">
        <f t="shared" ref="J11" si="15">I11/H11</f>
        <v>1.0353333531846469</v>
      </c>
      <c r="K11" s="557">
        <f t="shared" ref="K11" si="16">(1/J11-1.0256)*100</f>
        <v>-5.9727513690120082</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0.38991156239764163</v>
      </c>
      <c r="J12" s="503">
        <f t="shared" ref="J12" si="17">I12/H12</f>
        <v>1.0353333531846469</v>
      </c>
      <c r="K12" s="557">
        <f t="shared" ref="K12" si="18">(1/J12-1.0256)*100</f>
        <v>-5.9727513690120082</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0.38991156239764163</v>
      </c>
      <c r="J13" s="503">
        <f t="shared" ref="J13" si="19">I13/H13</f>
        <v>1.0353333531846469</v>
      </c>
      <c r="K13" s="557">
        <f t="shared" ref="K13" si="20">(1/J13-1.0256)*100</f>
        <v>-5.9727513690120082</v>
      </c>
      <c r="L13" s="495"/>
      <c r="M13" s="345"/>
    </row>
    <row r="14" spans="1:25" ht="18.75">
      <c r="A14" s="553" t="s">
        <v>7027</v>
      </c>
      <c r="B14" s="367" t="s">
        <v>5139</v>
      </c>
      <c r="C14" s="226">
        <v>792</v>
      </c>
      <c r="D14" s="370">
        <v>262448</v>
      </c>
      <c r="E14" s="554" t="s">
        <v>4134</v>
      </c>
      <c r="F14" s="555">
        <v>2101</v>
      </c>
      <c r="G14" s="302">
        <f t="shared" si="4"/>
        <v>97707.79180165063</v>
      </c>
      <c r="H14" s="503">
        <f t="shared" si="5"/>
        <v>0.37696335078534032</v>
      </c>
      <c r="I14" s="556">
        <f t="shared" si="6"/>
        <v>0.38991156239764163</v>
      </c>
      <c r="J14" s="503">
        <f t="shared" ref="J14" si="21">I14/H14</f>
        <v>1.0343487280270771</v>
      </c>
      <c r="K14" s="557">
        <f t="shared" ref="K14" si="22">(1/J14-1.0256)*100</f>
        <v>-5.8808072960648499</v>
      </c>
      <c r="L14" s="495"/>
      <c r="M14" s="345"/>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0.38991156239764163</v>
      </c>
      <c r="J15" s="503">
        <f t="shared" ref="J15" si="23">I15/H15</f>
        <v>0.99890928193116579</v>
      </c>
      <c r="K15" s="557">
        <f t="shared" ref="K15" si="24">(1/J15-1.0256)*100</f>
        <v>-2.4508090966253171</v>
      </c>
      <c r="L15" s="495"/>
      <c r="M15" s="345"/>
      <c r="N15" s="489" t="s">
        <v>7049</v>
      </c>
      <c r="O15" s="490">
        <v>36</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80" t="s">
        <v>5594</v>
      </c>
      <c r="F17" s="581">
        <v>121.8</v>
      </c>
      <c r="G17" s="334">
        <f>C17*D17*0.9912/(F17*1.003631981)</f>
        <v>4999.9530242357723</v>
      </c>
      <c r="H17" s="582">
        <f>C17/F17</f>
        <v>15.353037766830871</v>
      </c>
      <c r="I17" s="583">
        <f>$O$32/$O$31</f>
        <v>16.511627906976745</v>
      </c>
      <c r="J17" s="582">
        <f>I17/H17</f>
        <v>1.0754632508394477</v>
      </c>
      <c r="K17" s="584">
        <f t="shared" ref="K17" si="25">(1/J17-1.0256)*100</f>
        <v>-9.5768135248271218</v>
      </c>
      <c r="L17" s="495"/>
      <c r="M17" s="345"/>
      <c r="N17" s="489" t="s">
        <v>7046</v>
      </c>
      <c r="O17" s="490">
        <v>23</v>
      </c>
      <c r="P17" s="330">
        <v>188309</v>
      </c>
      <c r="Q17" s="330">
        <v>15047000</v>
      </c>
      <c r="U17">
        <v>11211</v>
      </c>
      <c r="V17">
        <f>U17*Q17/P17</f>
        <v>895825.03757122601</v>
      </c>
    </row>
    <row r="18" spans="1:28" ht="21">
      <c r="A18" s="592" t="s">
        <v>7060</v>
      </c>
      <c r="B18" s="225" t="s">
        <v>4134</v>
      </c>
      <c r="C18" s="224">
        <v>2096</v>
      </c>
      <c r="D18" s="302">
        <v>307.25</v>
      </c>
      <c r="E18" s="436" t="s">
        <v>5594</v>
      </c>
      <c r="F18" s="437">
        <v>127.2</v>
      </c>
      <c r="G18" s="484">
        <f>C18*D18*0.9912/(F18*1.003631981)</f>
        <v>5000.148010259737</v>
      </c>
      <c r="H18" s="438">
        <f>C18/F18</f>
        <v>16.477987421383649</v>
      </c>
      <c r="I18" s="483">
        <f>$O$32/$O$31</f>
        <v>16.511627906976745</v>
      </c>
      <c r="J18" s="438">
        <f>I18/H18</f>
        <v>1.0020415409195811</v>
      </c>
      <c r="K18" s="439">
        <f t="shared" ref="K18" si="26">(1/J18-1.0256)*100</f>
        <v>-2.763738152183548</v>
      </c>
      <c r="L18" s="495"/>
      <c r="M18" s="345"/>
      <c r="N18" s="489" t="s">
        <v>7045</v>
      </c>
      <c r="O18" s="490">
        <v>13.2</v>
      </c>
      <c r="P18" s="330">
        <f>P17*Q18/Q17</f>
        <v>52011.178573802084</v>
      </c>
      <c r="Q18" s="330">
        <v>4156000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v>
      </c>
      <c r="P19" s="330">
        <f>P17-P18</f>
        <v>136297.82142619792</v>
      </c>
      <c r="Q19" s="330">
        <f>Q17-Q18</f>
        <v>10891000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7.5</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302">
        <f>6770.8131*G21/25</f>
        <v>7312.4781480000001</v>
      </c>
      <c r="E21" s="565" t="s">
        <v>7033</v>
      </c>
      <c r="F21" s="566">
        <v>17.8</v>
      </c>
      <c r="G21" s="567">
        <v>27</v>
      </c>
      <c r="H21" s="302">
        <f t="shared" ref="H21:H26" si="27">C21*D21*0.9912/G21</f>
        <v>501999.99986505596</v>
      </c>
      <c r="I21" s="555">
        <f t="shared" ref="I21:I58" si="28">(F21+G21)*H21</f>
        <v>22489599.993954506</v>
      </c>
      <c r="J21" s="438">
        <f>(I21-H21*$O$27)/($O$32*1.003631981)</f>
        <v>8172.0095552040311</v>
      </c>
      <c r="K21" s="439">
        <f t="shared" ref="K21:K27" si="29">(J21-D21)*100/D21</f>
        <v>11.754310779569538</v>
      </c>
      <c r="L21" s="495">
        <f t="shared" ref="L21:L64" si="30">D21*K21/100</f>
        <v>859.53140720403098</v>
      </c>
      <c r="M21" s="345">
        <f t="shared" ref="M21:M65" si="31">(F21+G21)*H21</f>
        <v>22489599.993954506</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7048</v>
      </c>
      <c r="B22" s="225" t="s">
        <v>4134</v>
      </c>
      <c r="C22" s="224">
        <v>1818</v>
      </c>
      <c r="D22" s="302">
        <f>27.75*G22/25</f>
        <v>29.97</v>
      </c>
      <c r="E22" s="565" t="s">
        <v>7033</v>
      </c>
      <c r="F22" s="566">
        <v>17.5</v>
      </c>
      <c r="G22" s="567">
        <v>27</v>
      </c>
      <c r="H22" s="302">
        <f t="shared" si="27"/>
        <v>2000.2217759999999</v>
      </c>
      <c r="I22" s="555">
        <f>(F22+G22)*H22</f>
        <v>89009.869031999988</v>
      </c>
      <c r="J22" s="438">
        <f>(I22-H22*$O$27)/($O$32*1.003631981)</f>
        <v>32.280715398667596</v>
      </c>
      <c r="K22" s="439">
        <f>(J22-D22)*100/D22</f>
        <v>7.7100947569823051</v>
      </c>
      <c r="L22" s="495">
        <f t="shared" si="30"/>
        <v>2.3107153986675968</v>
      </c>
      <c r="M22" s="345">
        <f t="shared" si="31"/>
        <v>89009.869031999988</v>
      </c>
      <c r="N22" s="489" t="s">
        <v>7038</v>
      </c>
      <c r="O22" s="490">
        <v>30</v>
      </c>
      <c r="P22" s="597">
        <f>P21*1000/H33*D33</f>
        <v>94654.524702881536</v>
      </c>
      <c r="Q22" s="65">
        <f>Q21*1000/H40*188309</f>
        <v>71858.618745782922</v>
      </c>
      <c r="S22" s="482"/>
      <c r="T22" s="482"/>
      <c r="V22" s="366"/>
      <c r="Y22" s="538"/>
      <c r="Z22" s="454"/>
      <c r="AA22" s="454"/>
      <c r="AB22" s="454"/>
    </row>
    <row r="23" spans="1:28" ht="21">
      <c r="A23" s="229" t="s">
        <v>7032</v>
      </c>
      <c r="B23" s="225" t="s">
        <v>4134</v>
      </c>
      <c r="C23" s="224">
        <v>1870</v>
      </c>
      <c r="D23" s="302">
        <f>1497.13*G23/25</f>
        <v>1616.9004</v>
      </c>
      <c r="E23" s="568" t="s">
        <v>7034</v>
      </c>
      <c r="F23" s="569">
        <v>26.8</v>
      </c>
      <c r="G23" s="570">
        <v>27</v>
      </c>
      <c r="H23" s="302">
        <f t="shared" si="27"/>
        <v>110999.85314879999</v>
      </c>
      <c r="I23" s="555">
        <f t="shared" si="28"/>
        <v>5971792.0994054386</v>
      </c>
      <c r="J23" s="438">
        <f>(I23-H23*$O$26)/($O$32*1.003631981)</f>
        <v>1755.0318779542836</v>
      </c>
      <c r="K23" s="439">
        <f t="shared" si="29"/>
        <v>8.5429800100416564</v>
      </c>
      <c r="L23" s="495">
        <f t="shared" si="30"/>
        <v>138.13147795428358</v>
      </c>
      <c r="M23" s="345">
        <f t="shared" si="31"/>
        <v>5971792.0994054386</v>
      </c>
      <c r="N23" s="489" t="s">
        <v>7037</v>
      </c>
      <c r="O23" s="490">
        <v>18.5</v>
      </c>
      <c r="P23" s="598">
        <f>P22+Q22</f>
        <v>166513.14344866446</v>
      </c>
      <c r="Q23" s="599"/>
      <c r="S23" s="352">
        <v>63932.799498746863</v>
      </c>
      <c r="T23" s="352">
        <f>S23*O32*1.003632/(O38*0.9912)</f>
        <v>8408.6378780974155</v>
      </c>
      <c r="U23" s="355" t="s">
        <v>4716</v>
      </c>
      <c r="V23" s="355"/>
      <c r="W23" s="355"/>
      <c r="Y23" s="454"/>
      <c r="Z23" s="454"/>
      <c r="AA23" s="454"/>
      <c r="AB23" s="454"/>
    </row>
    <row r="24" spans="1:28" ht="21">
      <c r="A24" s="229" t="s">
        <v>7032</v>
      </c>
      <c r="B24" s="225" t="s">
        <v>4134</v>
      </c>
      <c r="C24" s="224">
        <v>1870</v>
      </c>
      <c r="D24" s="302">
        <f>14849.993073*G24/25</f>
        <v>16037.992518839999</v>
      </c>
      <c r="E24" s="189" t="s">
        <v>7035</v>
      </c>
      <c r="F24" s="190">
        <v>8.9</v>
      </c>
      <c r="G24" s="571">
        <v>27</v>
      </c>
      <c r="H24" s="302">
        <f t="shared" si="27"/>
        <v>1101004.6224200283</v>
      </c>
      <c r="I24" s="555">
        <f t="shared" si="28"/>
        <v>39526065.944879018</v>
      </c>
      <c r="J24" s="438">
        <f>(I24-H24*$O$25)/($O$32*1.003631981)</f>
        <v>15399.486358305348</v>
      </c>
      <c r="K24" s="439">
        <f t="shared" si="29"/>
        <v>-3.981209991116974</v>
      </c>
      <c r="L24" s="495">
        <f t="shared" si="30"/>
        <v>-638.50616053465092</v>
      </c>
      <c r="M24" s="345">
        <f t="shared" si="31"/>
        <v>39526065.944879018</v>
      </c>
      <c r="N24" s="489" t="s">
        <v>7036</v>
      </c>
      <c r="O24" s="490">
        <v>9</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7032</v>
      </c>
      <c r="B25" s="225" t="s">
        <v>4134</v>
      </c>
      <c r="C25" s="224">
        <v>1870</v>
      </c>
      <c r="D25" s="302">
        <f>6743.8378*G25/25</f>
        <v>7283.3448239999998</v>
      </c>
      <c r="E25" s="562" t="s">
        <v>7036</v>
      </c>
      <c r="F25" s="563">
        <v>19</v>
      </c>
      <c r="G25" s="564">
        <v>27</v>
      </c>
      <c r="H25" s="302">
        <f t="shared" si="27"/>
        <v>500000.00364652794</v>
      </c>
      <c r="I25" s="555">
        <f t="shared" si="28"/>
        <v>23000000.167740285</v>
      </c>
      <c r="J25" s="438">
        <f>(I25-H25*$O$24)/($O$32*1.003631981)</f>
        <v>8654.0148552052924</v>
      </c>
      <c r="K25" s="439">
        <f t="shared" si="29"/>
        <v>18.819238472530856</v>
      </c>
      <c r="L25" s="495">
        <f t="shared" si="30"/>
        <v>1370.6700312052926</v>
      </c>
      <c r="M25" s="345">
        <f t="shared" si="31"/>
        <v>23000000.167740285</v>
      </c>
      <c r="N25" s="489" t="s">
        <v>7035</v>
      </c>
      <c r="O25" s="490">
        <v>6</v>
      </c>
      <c r="P25" s="65">
        <v>152209</v>
      </c>
      <c r="Q25" s="65"/>
      <c r="R25" s="596" t="s">
        <v>869</v>
      </c>
      <c r="S25" s="63">
        <v>21074</v>
      </c>
      <c r="T25" s="63">
        <f>S25/0.9912</f>
        <v>21261.097659402745</v>
      </c>
    </row>
    <row r="26" spans="1:28" ht="21">
      <c r="A26" s="229" t="s">
        <v>7032</v>
      </c>
      <c r="B26" s="225" t="s">
        <v>4134</v>
      </c>
      <c r="C26" s="224">
        <v>1870</v>
      </c>
      <c r="D26" s="302">
        <f>2023.151326*G26/25</f>
        <v>2185.00343208</v>
      </c>
      <c r="E26" s="386" t="s">
        <v>7037</v>
      </c>
      <c r="F26" s="572">
        <v>28</v>
      </c>
      <c r="G26" s="573">
        <v>27</v>
      </c>
      <c r="H26" s="302">
        <f t="shared" si="27"/>
        <v>150000.00005597377</v>
      </c>
      <c r="I26" s="555">
        <f t="shared" si="28"/>
        <v>8250000.0030785576</v>
      </c>
      <c r="J26" s="438">
        <f>(I26-H26*$O$23)/($O$32*1.003631981)</f>
        <v>2561.1205948313063</v>
      </c>
      <c r="K26" s="439">
        <f t="shared" si="29"/>
        <v>17.213573087766914</v>
      </c>
      <c r="L26" s="495">
        <f t="shared" si="30"/>
        <v>376.1171627513063</v>
      </c>
      <c r="M26" s="345">
        <f t="shared" si="31"/>
        <v>8250000.0030785576</v>
      </c>
      <c r="N26" s="489" t="s">
        <v>7034</v>
      </c>
      <c r="O26" s="490">
        <v>20</v>
      </c>
      <c r="P26" s="597">
        <f>P23-P25</f>
        <v>14304.143448664458</v>
      </c>
      <c r="Q26" s="65"/>
      <c r="R26" s="596" t="s">
        <v>61</v>
      </c>
      <c r="S26" s="63">
        <v>19222</v>
      </c>
      <c r="T26" s="63">
        <f>S26/1.003631981</f>
        <v>19152.438706514273</v>
      </c>
      <c r="V26" s="560"/>
      <c r="W26" s="560"/>
      <c r="X26" s="560"/>
      <c r="Y26" s="560"/>
    </row>
    <row r="27" spans="1:28" ht="21">
      <c r="A27" s="229" t="s">
        <v>7032</v>
      </c>
      <c r="B27" s="225" t="s">
        <v>4134</v>
      </c>
      <c r="C27" s="224">
        <v>1870</v>
      </c>
      <c r="D27" s="302">
        <f>674.383775*G27/25</f>
        <v>728.33447699999999</v>
      </c>
      <c r="E27" s="574" t="s">
        <v>7038</v>
      </c>
      <c r="F27" s="486">
        <v>37</v>
      </c>
      <c r="G27" s="575">
        <v>27</v>
      </c>
      <c r="H27" s="302">
        <f>C27*D27*0.9912/G27</f>
        <v>49999.999993943995</v>
      </c>
      <c r="I27" s="555">
        <f t="shared" si="28"/>
        <v>3199999.9996124157</v>
      </c>
      <c r="J27" s="438">
        <f>(I27-H27*$O$22)/($O$32*1.003631981)</f>
        <v>795.2337916093478</v>
      </c>
      <c r="K27" s="439">
        <f t="shared" si="29"/>
        <v>9.1852461639472569</v>
      </c>
      <c r="L27" s="495">
        <f t="shared" si="30"/>
        <v>66.899314609347812</v>
      </c>
      <c r="M27" s="345">
        <f t="shared" si="31"/>
        <v>3199999.9996124157</v>
      </c>
      <c r="N27" s="489" t="s">
        <v>7033</v>
      </c>
      <c r="O27" s="490">
        <v>10</v>
      </c>
      <c r="R27" s="63" t="s">
        <v>6154</v>
      </c>
      <c r="S27" s="63">
        <v>14984</v>
      </c>
      <c r="T27" s="63">
        <f>S27*0.9912/1.003631981</f>
        <v>14798.393316643422</v>
      </c>
      <c r="V27" s="560"/>
      <c r="W27" s="560"/>
      <c r="X27" s="560"/>
      <c r="Y27" s="560"/>
    </row>
    <row r="28" spans="1:28" ht="21">
      <c r="A28" s="229" t="s">
        <v>7052</v>
      </c>
      <c r="B28" s="225" t="s">
        <v>4134</v>
      </c>
      <c r="C28" s="224">
        <v>1812.2</v>
      </c>
      <c r="D28" s="302">
        <f>62663.79*G28/24</f>
        <v>60052.798749999994</v>
      </c>
      <c r="E28" s="587" t="s">
        <v>7043</v>
      </c>
      <c r="F28" s="576">
        <v>10.1</v>
      </c>
      <c r="G28" s="383">
        <v>23</v>
      </c>
      <c r="H28" s="302">
        <f t="shared" ref="H28" si="32">C28*D28*0.9912/G28</f>
        <v>4689999.9258293994</v>
      </c>
      <c r="I28" s="555">
        <f t="shared" ref="I28" si="33">(F28+G28)*H28</f>
        <v>155238997.54495314</v>
      </c>
      <c r="J28" s="438">
        <f t="shared" ref="J28:J32" si="34">(I28-H28*$O$20)/($O$32*1.003631981)</f>
        <v>56164.08732787364</v>
      </c>
      <c r="K28" s="439">
        <f t="shared" ref="K28" si="35">(J28-D28)*100/D28</f>
        <v>-6.4754874095295269</v>
      </c>
      <c r="L28" s="495">
        <f t="shared" si="30"/>
        <v>-3888.711422126355</v>
      </c>
      <c r="M28" s="345">
        <f t="shared" si="31"/>
        <v>155238997.54495314</v>
      </c>
      <c r="N28" s="332" t="s">
        <v>7031</v>
      </c>
      <c r="O28" s="313">
        <v>54.9</v>
      </c>
      <c r="R28" s="63" t="s">
        <v>1004</v>
      </c>
      <c r="S28" s="63">
        <v>1155794</v>
      </c>
      <c r="T28" s="63">
        <f>S28/1.00125</f>
        <v>1154351.0611735331</v>
      </c>
      <c r="V28" s="560"/>
      <c r="W28" s="560"/>
      <c r="X28" s="560"/>
      <c r="Y28" s="560"/>
    </row>
    <row r="29" spans="1:28" ht="21">
      <c r="A29" s="229" t="s">
        <v>7057</v>
      </c>
      <c r="B29" s="225" t="s">
        <v>4134</v>
      </c>
      <c r="C29" s="224">
        <v>2083</v>
      </c>
      <c r="D29" s="302">
        <f>217789.81*G29/24</f>
        <v>208715.23458333334</v>
      </c>
      <c r="E29" s="587" t="s">
        <v>7043</v>
      </c>
      <c r="F29" s="576">
        <v>8.1</v>
      </c>
      <c r="G29" s="383">
        <v>23</v>
      </c>
      <c r="H29" s="302">
        <f t="shared" ref="H29" si="36">C29*D29*0.9912/G29</f>
        <v>18735999.995699</v>
      </c>
      <c r="I29" s="555">
        <f t="shared" ref="I29" si="37">(F29+G29)*H29</f>
        <v>582689599.86623895</v>
      </c>
      <c r="J29" s="438">
        <f t="shared" si="34"/>
        <v>206840.12206132873</v>
      </c>
      <c r="K29" s="439">
        <f t="shared" ref="K29" si="38">(J29-D29)*100/D29</f>
        <v>-0.89840711711723953</v>
      </c>
      <c r="L29" s="495">
        <f t="shared" ref="L29" si="39">D29*K29/100</f>
        <v>-1875.1125220046088</v>
      </c>
      <c r="M29" s="345">
        <f t="shared" si="31"/>
        <v>582689599.86623895</v>
      </c>
      <c r="N29" s="492" t="s">
        <v>6908</v>
      </c>
      <c r="O29" s="493">
        <v>1737</v>
      </c>
    </row>
    <row r="30" spans="1:28" ht="21">
      <c r="A30" s="229" t="s">
        <v>7058</v>
      </c>
      <c r="B30" s="225" t="s">
        <v>4134</v>
      </c>
      <c r="C30" s="224">
        <v>2083</v>
      </c>
      <c r="D30" s="302">
        <f>166097.28*G30/24</f>
        <v>159176.56</v>
      </c>
      <c r="E30" s="587" t="s">
        <v>7043</v>
      </c>
      <c r="F30" s="576">
        <v>8.25</v>
      </c>
      <c r="G30" s="383">
        <v>23</v>
      </c>
      <c r="H30" s="302">
        <f t="shared" ref="H30:H31" si="40">C30*D30*0.9912/G30</f>
        <v>14289000.194112001</v>
      </c>
      <c r="I30" s="555">
        <f t="shared" ref="I30:I31" si="41">(F30+G30)*H30</f>
        <v>446531256.06600004</v>
      </c>
      <c r="J30" s="438">
        <f t="shared" si="34"/>
        <v>158749.13255653469</v>
      </c>
      <c r="K30" s="439">
        <f t="shared" ref="K30" si="42">(J30-D30)*100/D30</f>
        <v>-0.26852411150567979</v>
      </c>
      <c r="L30" s="495">
        <f t="shared" ref="L30" si="43">D30*K30/100</f>
        <v>-427.42744346530526</v>
      </c>
      <c r="M30" s="345">
        <f t="shared" ref="M30" si="44">(F30+G30)*H30</f>
        <v>446531256.06600004</v>
      </c>
      <c r="N30" s="489" t="s">
        <v>6907</v>
      </c>
      <c r="O30" s="489">
        <v>285</v>
      </c>
    </row>
    <row r="31" spans="1:28" ht="21">
      <c r="A31" s="229" t="s">
        <v>7059</v>
      </c>
      <c r="B31" s="225" t="s">
        <v>4134</v>
      </c>
      <c r="C31" s="224">
        <v>2083</v>
      </c>
      <c r="D31" s="302">
        <f>90575.27*G31/24</f>
        <v>86801.30041666668</v>
      </c>
      <c r="E31" s="587" t="s">
        <v>7043</v>
      </c>
      <c r="F31" s="576">
        <v>8.5399999999999991</v>
      </c>
      <c r="G31" s="383">
        <v>23</v>
      </c>
      <c r="H31" s="302">
        <f t="shared" si="40"/>
        <v>7792000.270033001</v>
      </c>
      <c r="I31" s="555">
        <f t="shared" si="41"/>
        <v>245759688.51684085</v>
      </c>
      <c r="J31" s="438">
        <f t="shared" si="34"/>
        <v>87625.261499897941</v>
      </c>
      <c r="K31" s="439">
        <f t="shared" ref="K31" si="45">(J31-D31)*100/D31</f>
        <v>0.94924969934327452</v>
      </c>
      <c r="L31" s="495">
        <f t="shared" ref="L31" si="46">D31*K31/100</f>
        <v>823.961083231261</v>
      </c>
      <c r="M31" s="345">
        <f t="shared" ref="M31" si="47">(F31+G31)*H31</f>
        <v>245759688.51684085</v>
      </c>
      <c r="N31" s="332" t="s">
        <v>5594</v>
      </c>
      <c r="O31" s="332">
        <v>129</v>
      </c>
      <c r="P31" s="560"/>
    </row>
    <row r="32" spans="1:28" ht="21">
      <c r="A32" s="229" t="s">
        <v>7060</v>
      </c>
      <c r="B32" s="225" t="s">
        <v>4134</v>
      </c>
      <c r="C32" s="224">
        <v>2100</v>
      </c>
      <c r="D32" s="302">
        <f>20335.14*G32/26</f>
        <v>17988.777692307693</v>
      </c>
      <c r="E32" s="587" t="s">
        <v>7043</v>
      </c>
      <c r="F32" s="576">
        <v>9</v>
      </c>
      <c r="G32" s="383">
        <v>23</v>
      </c>
      <c r="H32" s="302">
        <f t="shared" ref="H32" si="48">C32*D32*0.9912/G32</f>
        <v>1628000.0235692307</v>
      </c>
      <c r="I32" s="555">
        <f t="shared" ref="I32" si="49">(F32+G32)*H32</f>
        <v>52096000.754215382</v>
      </c>
      <c r="J32" s="438">
        <f t="shared" si="34"/>
        <v>18658.056161868768</v>
      </c>
      <c r="K32" s="439">
        <f t="shared" ref="K32" si="50">(J32-D32)*100/D32</f>
        <v>3.720533329217083</v>
      </c>
      <c r="L32" s="495">
        <f t="shared" ref="L32" si="51">D32*K32/100</f>
        <v>669.27846956107533</v>
      </c>
      <c r="M32" s="345">
        <f t="shared" ref="M32" si="52">(F32+G32)*H32</f>
        <v>52096000.754215382</v>
      </c>
      <c r="N32" s="303" t="s">
        <v>4134</v>
      </c>
      <c r="O32" s="532">
        <v>2130</v>
      </c>
      <c r="U32" t="s">
        <v>25</v>
      </c>
    </row>
    <row r="33" spans="1:22" ht="21">
      <c r="A33" s="592" t="s">
        <v>7060</v>
      </c>
      <c r="B33" s="225" t="s">
        <v>4134</v>
      </c>
      <c r="C33" s="224">
        <v>2096</v>
      </c>
      <c r="D33" s="302">
        <f>1067642.39*G33/26</f>
        <v>944452.88346153847</v>
      </c>
      <c r="E33" s="587" t="s">
        <v>7043</v>
      </c>
      <c r="F33" s="576">
        <v>8.74</v>
      </c>
      <c r="G33" s="383">
        <v>23</v>
      </c>
      <c r="H33" s="594">
        <f t="shared" ref="H33" si="53">C33*D33*0.9912/G33</f>
        <v>85310999.964804932</v>
      </c>
      <c r="I33" s="555">
        <f t="shared" ref="I33:I39" si="54">(F33+G33)*H33</f>
        <v>2707771138.8829088</v>
      </c>
      <c r="J33" s="438">
        <f t="shared" ref="J33:J39" si="55">(I33-H33*$O$20)/($O$32*1.003631981)</f>
        <v>967349.81471966067</v>
      </c>
      <c r="K33" s="483">
        <f t="shared" ref="K33:K42" si="56">(J33-D33)*100/D33</f>
        <v>2.4243592940499132</v>
      </c>
      <c r="L33" s="495">
        <f t="shared" ref="L33" si="57">D33*K33/100</f>
        <v>22896.931258122204</v>
      </c>
      <c r="M33" s="345">
        <f t="shared" ref="M33" si="58">(F33+G33)*H33</f>
        <v>2707771138.8829088</v>
      </c>
      <c r="N33" s="304" t="s">
        <v>5139</v>
      </c>
      <c r="O33" s="551">
        <f>P33*(1+P3)</f>
        <v>830.51162790697663</v>
      </c>
      <c r="P33" s="551">
        <v>768</v>
      </c>
      <c r="Q33" s="560"/>
      <c r="R33" s="560"/>
      <c r="S33" s="560"/>
    </row>
    <row r="34" spans="1:22" ht="21">
      <c r="A34" s="592" t="s">
        <v>7070</v>
      </c>
      <c r="B34" s="225" t="s">
        <v>4134</v>
      </c>
      <c r="C34" s="224">
        <v>2096</v>
      </c>
      <c r="D34" s="302">
        <f>507195*G34/26</f>
        <v>448672.5</v>
      </c>
      <c r="E34" s="587" t="s">
        <v>7043</v>
      </c>
      <c r="F34" s="576">
        <v>7.19</v>
      </c>
      <c r="G34" s="383">
        <v>23</v>
      </c>
      <c r="H34" s="594">
        <f t="shared" ref="H34" si="59">C34*D34*0.9912/G34</f>
        <v>40527908.064000003</v>
      </c>
      <c r="I34" s="555">
        <f t="shared" si="54"/>
        <v>1223537544.4521601</v>
      </c>
      <c r="J34" s="438">
        <f t="shared" si="55"/>
        <v>430164.52104216558</v>
      </c>
      <c r="K34" s="483">
        <f t="shared" si="56"/>
        <v>-4.1250531195547797</v>
      </c>
      <c r="L34" s="495">
        <f t="shared" ref="L34" si="60">D34*K34/100</f>
        <v>-18507.978957834417</v>
      </c>
      <c r="M34" s="345">
        <f t="shared" ref="M34" si="61">(F34+G34)*H34</f>
        <v>1223537544.4521601</v>
      </c>
      <c r="N34" s="312" t="s">
        <v>4542</v>
      </c>
      <c r="O34" s="312">
        <v>414</v>
      </c>
      <c r="P34" s="560">
        <f>(O34*2085+(O34-100)*512)/2000</f>
        <v>511.97899999999998</v>
      </c>
      <c r="Q34" s="560"/>
      <c r="R34" s="560"/>
      <c r="S34" s="560"/>
    </row>
    <row r="35" spans="1:22" ht="21">
      <c r="A35" s="592" t="s">
        <v>7070</v>
      </c>
      <c r="B35" s="225" t="s">
        <v>4134</v>
      </c>
      <c r="C35" s="224">
        <v>2133.6999999999998</v>
      </c>
      <c r="D35" s="302">
        <v>212520.41</v>
      </c>
      <c r="E35" s="587" t="s">
        <v>7043</v>
      </c>
      <c r="F35" s="576">
        <v>7.19</v>
      </c>
      <c r="G35" s="383">
        <v>23</v>
      </c>
      <c r="H35" s="594">
        <f t="shared" ref="H35:H36" si="62">C35*D35*0.9912/G35</f>
        <v>19541930.286409143</v>
      </c>
      <c r="I35" s="555">
        <f t="shared" si="54"/>
        <v>589970875.34669209</v>
      </c>
      <c r="J35" s="438">
        <f t="shared" si="55"/>
        <v>207418.67723884943</v>
      </c>
      <c r="K35" s="483">
        <f t="shared" si="56"/>
        <v>-2.4005848478979384</v>
      </c>
      <c r="L35" s="495">
        <f t="shared" ref="L35:L36" si="63">D35*K35/100</f>
        <v>-5101.7327611505752</v>
      </c>
      <c r="M35" s="345">
        <f t="shared" ref="M35:M36" si="64">(F35+G35)*H35</f>
        <v>589970875.34669209</v>
      </c>
      <c r="N35" s="313" t="s">
        <v>5592</v>
      </c>
      <c r="O35" s="313">
        <v>1867</v>
      </c>
      <c r="P35" s="560"/>
      <c r="Q35" s="560" t="s">
        <v>5281</v>
      </c>
      <c r="R35" s="560" t="s">
        <v>690</v>
      </c>
      <c r="S35" s="398" t="s">
        <v>1005</v>
      </c>
    </row>
    <row r="36" spans="1:22" ht="21">
      <c r="A36" s="229" t="s">
        <v>7070</v>
      </c>
      <c r="B36" s="225" t="s">
        <v>4134</v>
      </c>
      <c r="C36" s="224">
        <v>2133.6999999999998</v>
      </c>
      <c r="D36" s="302">
        <f>6146.8*G36/26</f>
        <v>5437.5538461538463</v>
      </c>
      <c r="E36" s="587" t="s">
        <v>7043</v>
      </c>
      <c r="F36" s="576">
        <v>7.2</v>
      </c>
      <c r="G36" s="383">
        <v>23</v>
      </c>
      <c r="H36" s="594">
        <f t="shared" si="62"/>
        <v>500000.43849969225</v>
      </c>
      <c r="I36" s="555">
        <f t="shared" si="54"/>
        <v>15100013.242690705</v>
      </c>
      <c r="J36" s="438">
        <f t="shared" si="55"/>
        <v>5309.3596773948002</v>
      </c>
      <c r="K36" s="483">
        <f t="shared" si="56"/>
        <v>-2.3575705618018268</v>
      </c>
      <c r="L36" s="495">
        <f t="shared" si="63"/>
        <v>-128.19416875904608</v>
      </c>
      <c r="M36" s="345">
        <f t="shared" si="64"/>
        <v>15100013.242690705</v>
      </c>
      <c r="N36" s="313" t="s">
        <v>6810</v>
      </c>
      <c r="O36" s="313">
        <v>18670</v>
      </c>
      <c r="P36" s="560"/>
      <c r="Q36" s="302">
        <v>2512</v>
      </c>
      <c r="R36" s="302">
        <v>502564</v>
      </c>
      <c r="S36" s="199"/>
      <c r="T36" s="560" t="s">
        <v>4542</v>
      </c>
    </row>
    <row r="37" spans="1:22" ht="23.25">
      <c r="A37" s="601" t="s">
        <v>7072</v>
      </c>
      <c r="B37" s="225" t="s">
        <v>4134</v>
      </c>
      <c r="C37" s="224">
        <v>2126.1</v>
      </c>
      <c r="D37" s="302">
        <f>333164.67*G37/22</f>
        <v>348308.51863636362</v>
      </c>
      <c r="E37" s="587" t="s">
        <v>7043</v>
      </c>
      <c r="F37" s="576">
        <v>7.6</v>
      </c>
      <c r="G37" s="383">
        <v>23</v>
      </c>
      <c r="H37" s="594">
        <f>C37*D37*0.9912/G37</f>
        <v>31914000.023817923</v>
      </c>
      <c r="I37" s="555">
        <f t="shared" si="54"/>
        <v>976568400.72882843</v>
      </c>
      <c r="J37" s="438">
        <f t="shared" si="55"/>
        <v>344857.06342103478</v>
      </c>
      <c r="K37" s="483">
        <f t="shared" ref="K37" si="65">(J37-D37)*100/D37</f>
        <v>-0.9909189786231386</v>
      </c>
      <c r="L37" s="495">
        <f t="shared" ref="L37" si="66">D37*K37/100</f>
        <v>-3451.4552153288387</v>
      </c>
      <c r="M37" s="345">
        <f t="shared" ref="M37" si="67">(F37+G37)*H37</f>
        <v>976568400.72882843</v>
      </c>
      <c r="N37" s="311" t="s">
        <v>6827</v>
      </c>
      <c r="O37" s="533">
        <v>14635</v>
      </c>
      <c r="P37" s="560"/>
      <c r="Q37" s="302">
        <v>6582</v>
      </c>
      <c r="R37" s="302">
        <v>0</v>
      </c>
      <c r="S37" s="199"/>
      <c r="T37" s="560" t="s">
        <v>4716</v>
      </c>
    </row>
    <row r="38" spans="1:22" ht="21">
      <c r="A38" s="592" t="s">
        <v>7072</v>
      </c>
      <c r="B38" s="225" t="s">
        <v>4134</v>
      </c>
      <c r="C38" s="224">
        <v>2133.6999999999998</v>
      </c>
      <c r="D38" s="302">
        <f>141267.53*G38/23</f>
        <v>141267.53</v>
      </c>
      <c r="E38" s="587" t="s">
        <v>7043</v>
      </c>
      <c r="F38" s="576">
        <v>7.2</v>
      </c>
      <c r="G38" s="383">
        <v>23</v>
      </c>
      <c r="H38" s="594">
        <f>C38*D38*0.9912/G38</f>
        <v>12990000.456865355</v>
      </c>
      <c r="I38" s="555">
        <f t="shared" si="54"/>
        <v>392298013.79733372</v>
      </c>
      <c r="J38" s="438">
        <f t="shared" si="55"/>
        <v>137937.04829933544</v>
      </c>
      <c r="K38" s="483">
        <f t="shared" ref="K38" si="68">(J38-D38)*100/D38</f>
        <v>-2.3575705618018246</v>
      </c>
      <c r="L38" s="495">
        <f t="shared" ref="L38" si="69">D38*K38/100</f>
        <v>-3330.4817006645608</v>
      </c>
      <c r="M38" s="345">
        <f t="shared" ref="M38" si="70">(F38+G38)*H38</f>
        <v>392298013.79733372</v>
      </c>
      <c r="N38" s="313" t="s">
        <v>4716</v>
      </c>
      <c r="O38" s="313">
        <v>16398</v>
      </c>
      <c r="P38" s="560"/>
      <c r="Q38" s="302">
        <v>818296</v>
      </c>
      <c r="R38" s="302">
        <v>4203986</v>
      </c>
      <c r="S38" s="199">
        <v>508182</v>
      </c>
      <c r="T38" s="560" t="s">
        <v>4134</v>
      </c>
      <c r="U38" s="356"/>
      <c r="V38" s="454"/>
    </row>
    <row r="39" spans="1:22" ht="21">
      <c r="A39" s="229" t="s">
        <v>7072</v>
      </c>
      <c r="B39" s="225" t="s">
        <v>4134</v>
      </c>
      <c r="C39" s="224">
        <v>2134</v>
      </c>
      <c r="D39" s="302">
        <f>82508.64*G39/23</f>
        <v>82508.639999999999</v>
      </c>
      <c r="E39" s="587" t="s">
        <v>7043</v>
      </c>
      <c r="F39" s="576">
        <v>7.34</v>
      </c>
      <c r="G39" s="383">
        <v>23</v>
      </c>
      <c r="H39" s="594">
        <f>C39*D39*0.9912/G39</f>
        <v>7587999.6307700863</v>
      </c>
      <c r="I39" s="555">
        <f t="shared" si="54"/>
        <v>230219908.79756442</v>
      </c>
      <c r="J39" s="438">
        <f t="shared" si="55"/>
        <v>81071.704773783058</v>
      </c>
      <c r="K39" s="483">
        <f t="shared" ref="K39" si="71">(J39-D39)*100/D39</f>
        <v>-1.7415572795975565</v>
      </c>
      <c r="L39" s="495">
        <f t="shared" ref="L39" si="72">D39*K39/100</f>
        <v>-1436.9352262169414</v>
      </c>
      <c r="M39" s="345">
        <f t="shared" ref="M39" si="73">(F39+G39)*H39</f>
        <v>230219908.79756442</v>
      </c>
      <c r="N39" s="313" t="s">
        <v>6830</v>
      </c>
      <c r="O39" s="313">
        <v>15500</v>
      </c>
      <c r="P39" s="560"/>
      <c r="Q39" s="302"/>
      <c r="R39" s="302"/>
      <c r="S39" s="199"/>
      <c r="U39" s="356"/>
      <c r="V39" s="454"/>
    </row>
    <row r="40" spans="1:22" ht="18.75">
      <c r="A40" s="592" t="s">
        <v>7060</v>
      </c>
      <c r="B40" s="225" t="s">
        <v>4134</v>
      </c>
      <c r="C40" s="224">
        <v>2096</v>
      </c>
      <c r="D40" s="302">
        <f>136297.7*G40/26</f>
        <v>141539.91923076924</v>
      </c>
      <c r="E40" s="589" t="s">
        <v>7044</v>
      </c>
      <c r="F40" s="345">
        <v>11.75</v>
      </c>
      <c r="G40" s="334">
        <v>27</v>
      </c>
      <c r="H40" s="595">
        <f t="shared" ref="H40" si="74">C40*D40*0.9912/G40</f>
        <v>10890999.822424615</v>
      </c>
      <c r="I40" s="555">
        <f t="shared" ref="I40" si="75">(F40+G40)*H40</f>
        <v>422026243.11895382</v>
      </c>
      <c r="J40" s="438">
        <f>(I40-H40*$O$19)/($O$32*1.003631981)</f>
        <v>146470.95216015202</v>
      </c>
      <c r="K40" s="439">
        <f t="shared" si="56"/>
        <v>3.4838460811491183</v>
      </c>
      <c r="L40" s="495">
        <f t="shared" ref="L40" si="76">D40*K40/100</f>
        <v>4931.0329293827817</v>
      </c>
      <c r="M40" s="345">
        <f t="shared" ref="M40" si="77">(F40+G40)*H40</f>
        <v>422026243.11895382</v>
      </c>
      <c r="Q40" s="302">
        <v>160018</v>
      </c>
      <c r="R40" s="302">
        <v>2080616</v>
      </c>
      <c r="S40" s="199">
        <v>100000</v>
      </c>
      <c r="U40" s="356"/>
      <c r="V40" s="454"/>
    </row>
    <row r="41" spans="1:22" ht="18.75" customHeight="1">
      <c r="A41" s="229" t="s">
        <v>7071</v>
      </c>
      <c r="B41" s="225" t="s">
        <v>4134</v>
      </c>
      <c r="C41" s="224">
        <v>2100</v>
      </c>
      <c r="D41" s="302">
        <f>274.8*G41/26</f>
        <v>285.3692307692308</v>
      </c>
      <c r="E41" s="589" t="s">
        <v>7044</v>
      </c>
      <c r="F41" s="345">
        <v>11.5</v>
      </c>
      <c r="G41" s="334">
        <v>27</v>
      </c>
      <c r="H41" s="595">
        <f t="shared" ref="H41" si="78">C41*D41*0.9912/G41</f>
        <v>22000.065230769229</v>
      </c>
      <c r="I41" s="555">
        <f t="shared" ref="I41" si="79">(F41+G41)*H41</f>
        <v>847002.51138461533</v>
      </c>
      <c r="J41" s="438">
        <f>(I41-H41*$O$19)/($O$32*1.003631981)</f>
        <v>293.30180341190794</v>
      </c>
      <c r="K41" s="439">
        <f t="shared" si="56"/>
        <v>2.7797575167071771</v>
      </c>
      <c r="L41" s="495">
        <f t="shared" ref="L41" si="80">D41*K41/100</f>
        <v>7.9325726426771439</v>
      </c>
      <c r="M41" s="345">
        <f t="shared" ref="M41" si="81">(F41+G41)*H41</f>
        <v>847002.51138461533</v>
      </c>
      <c r="R41" s="356" t="s">
        <v>25</v>
      </c>
      <c r="S41" s="356"/>
      <c r="T41" s="356"/>
      <c r="U41" s="356"/>
      <c r="V41" s="454"/>
    </row>
    <row r="42" spans="1:22" ht="21.75" customHeight="1">
      <c r="A42" s="592" t="s">
        <v>7070</v>
      </c>
      <c r="B42" s="225" t="s">
        <v>4134</v>
      </c>
      <c r="C42" s="224">
        <v>2133.6999999999998</v>
      </c>
      <c r="D42" s="302">
        <f>16399.65*G42/26</f>
        <v>17030.405769230772</v>
      </c>
      <c r="E42" s="589" t="s">
        <v>7044</v>
      </c>
      <c r="F42" s="345">
        <v>10.050000000000001</v>
      </c>
      <c r="G42" s="334">
        <v>27</v>
      </c>
      <c r="H42" s="595">
        <f t="shared" ref="H42" si="82">C42*D42*0.9912/G42</f>
        <v>1334000.1612613851</v>
      </c>
      <c r="I42" s="555">
        <f t="shared" ref="I42" si="83">(F42+G42)*H42</f>
        <v>49424705.974734314</v>
      </c>
      <c r="J42" s="438">
        <f>(I42-H42*$O$19)/($O$32*1.003631981)</f>
        <v>16879.868395568861</v>
      </c>
      <c r="K42" s="439">
        <f t="shared" si="56"/>
        <v>-0.88393298258277919</v>
      </c>
      <c r="L42" s="495">
        <f t="shared" ref="L42" si="84">D42*K42/100</f>
        <v>-150.53737366191126</v>
      </c>
      <c r="M42" s="345">
        <f t="shared" ref="M42" si="85">(F42+G42)*H42</f>
        <v>49424705.974734314</v>
      </c>
      <c r="N42" s="561" t="s">
        <v>25</v>
      </c>
      <c r="O42" s="561"/>
      <c r="P42" s="302">
        <f>Q38+R38+S38-R40-Q40-S40</f>
        <v>3189830</v>
      </c>
      <c r="Q42" s="302">
        <f>SUM(D17:D67)</f>
        <v>3152363.3466272182</v>
      </c>
      <c r="R42" s="356"/>
      <c r="S42" s="356"/>
      <c r="V42" s="454"/>
    </row>
    <row r="43" spans="1:22" ht="18.75">
      <c r="A43" s="601" t="s">
        <v>7072</v>
      </c>
      <c r="B43" s="225" t="s">
        <v>4134</v>
      </c>
      <c r="C43" s="224">
        <v>2126.1</v>
      </c>
      <c r="D43" s="302">
        <f>73740.49*G43/28</f>
        <v>71106.901071428583</v>
      </c>
      <c r="E43" s="589" t="s">
        <v>7044</v>
      </c>
      <c r="F43" s="345">
        <v>10.15</v>
      </c>
      <c r="G43" s="334">
        <v>27</v>
      </c>
      <c r="H43" s="595">
        <f t="shared" ref="H43" si="86">C43*D43*0.9912/G43</f>
        <v>5549999.8149306001</v>
      </c>
      <c r="I43" s="555">
        <f t="shared" ref="I43" si="87">(F43+G43)*H43</f>
        <v>206182493.12467179</v>
      </c>
      <c r="J43" s="438">
        <f>(I43-H43*$O$19)/($O$32*1.003631981)</f>
        <v>70486.948131135403</v>
      </c>
      <c r="K43" s="439">
        <f t="shared" ref="K43" si="88">(J43-D43)*100/D43</f>
        <v>-0.87186043963640425</v>
      </c>
      <c r="L43" s="495">
        <f t="shared" ref="L43" si="89">D43*K43/100</f>
        <v>-619.95294029318029</v>
      </c>
      <c r="M43" s="345">
        <f t="shared" ref="M43" si="90">(F43+G43)*H43</f>
        <v>206182493.12467179</v>
      </c>
      <c r="N43" s="561"/>
      <c r="O43" s="561"/>
      <c r="P43" s="302"/>
      <c r="Q43" s="302">
        <f>P42-Q42</f>
        <v>37466.653372781817</v>
      </c>
      <c r="R43" s="356"/>
      <c r="S43" s="356"/>
      <c r="V43" s="454" t="s">
        <v>25</v>
      </c>
    </row>
    <row r="44" spans="1:22" ht="18.75" customHeight="1">
      <c r="A44" s="229" t="s">
        <v>7072</v>
      </c>
      <c r="B44" s="225" t="s">
        <v>4134</v>
      </c>
      <c r="C44" s="224">
        <v>2134</v>
      </c>
      <c r="D44" s="302">
        <f>1323.74*G44/28</f>
        <v>1276.4635714285716</v>
      </c>
      <c r="E44" s="589" t="s">
        <v>7044</v>
      </c>
      <c r="F44" s="345">
        <v>10.42</v>
      </c>
      <c r="G44" s="334">
        <v>27</v>
      </c>
      <c r="H44" s="595">
        <f t="shared" ref="H44" si="91">C44*D44*0.9912/G44</f>
        <v>100000.085064</v>
      </c>
      <c r="I44" s="555">
        <f t="shared" ref="I44" si="92">(F44+G44)*H44</f>
        <v>3742003.1830948801</v>
      </c>
      <c r="J44" s="438">
        <f>(I44-H44*$O$19)/($O$32*1.003631981)</f>
        <v>1282.666418649339</v>
      </c>
      <c r="K44" s="439">
        <f t="shared" ref="K44" si="93">(J44-D44)*100/D44</f>
        <v>0.48594001110625912</v>
      </c>
      <c r="L44" s="495">
        <f t="shared" ref="L44" si="94">D44*K44/100</f>
        <v>6.2028472207673531</v>
      </c>
      <c r="M44" s="345">
        <f t="shared" ref="M44" si="95">(F44+G44)*H44</f>
        <v>3742003.1830948801</v>
      </c>
      <c r="N44" s="561"/>
      <c r="O44" s="561"/>
      <c r="P44" s="561"/>
      <c r="Q44" s="561"/>
      <c r="R44" s="356"/>
      <c r="S44" s="356"/>
      <c r="V44" s="454"/>
    </row>
    <row r="45" spans="1:22" ht="20.25" customHeight="1">
      <c r="A45" s="229" t="s">
        <v>7048</v>
      </c>
      <c r="B45" s="225" t="s">
        <v>4134</v>
      </c>
      <c r="C45" s="224">
        <v>1818</v>
      </c>
      <c r="D45" s="302">
        <f>1997.78*G45/24</f>
        <v>2247.5025000000001</v>
      </c>
      <c r="E45" s="577" t="s">
        <v>7045</v>
      </c>
      <c r="F45" s="578">
        <v>30.4</v>
      </c>
      <c r="G45" s="579">
        <v>27</v>
      </c>
      <c r="H45" s="302">
        <f t="shared" ref="H45:H58" si="96">C45*D45*0.9912/G45</f>
        <v>150000.114852</v>
      </c>
      <c r="I45" s="555">
        <f t="shared" si="28"/>
        <v>8610006.5925047994</v>
      </c>
      <c r="J45" s="438">
        <f t="shared" ref="J45:J50" si="97">(I45-H45*$O$18)/($O$32*1.003631981)</f>
        <v>3101.4141623410769</v>
      </c>
      <c r="K45" s="439">
        <f t="shared" ref="K45:K58" si="98">(J45-D45)*100/D45</f>
        <v>37.993802558220821</v>
      </c>
      <c r="L45" s="495">
        <f t="shared" si="30"/>
        <v>853.91166234107686</v>
      </c>
      <c r="M45" s="345">
        <f t="shared" si="31"/>
        <v>8610006.5925047994</v>
      </c>
      <c r="N45" s="561"/>
      <c r="O45" s="561" t="s">
        <v>25</v>
      </c>
      <c r="P45" s="561"/>
      <c r="Q45" s="561"/>
      <c r="R45" s="356"/>
      <c r="S45" s="356"/>
      <c r="T45" s="336"/>
      <c r="V45" s="454"/>
    </row>
    <row r="46" spans="1:22" ht="18.75">
      <c r="A46" s="229" t="s">
        <v>7050</v>
      </c>
      <c r="B46" s="225" t="s">
        <v>4134</v>
      </c>
      <c r="C46" s="224">
        <v>1806</v>
      </c>
      <c r="D46" s="302">
        <f>268.141*G46/24</f>
        <v>301.65862500000003</v>
      </c>
      <c r="E46" s="577" t="s">
        <v>7045</v>
      </c>
      <c r="F46" s="578">
        <v>28</v>
      </c>
      <c r="G46" s="579">
        <v>27</v>
      </c>
      <c r="H46" s="302">
        <f t="shared" ref="H46" si="99">C46*D46*0.9912/G46</f>
        <v>20000.047279800001</v>
      </c>
      <c r="I46" s="555">
        <f t="shared" ref="I46" si="100">(F46+G46)*H46</f>
        <v>1100002.600389</v>
      </c>
      <c r="J46" s="438">
        <f t="shared" si="97"/>
        <v>391.06883616647798</v>
      </c>
      <c r="K46" s="439">
        <f t="shared" ref="K46" si="101">(J46-D46)*100/D46</f>
        <v>29.639534147739994</v>
      </c>
      <c r="L46" s="495">
        <f t="shared" si="30"/>
        <v>89.41021116647795</v>
      </c>
      <c r="M46" s="345">
        <f t="shared" si="31"/>
        <v>1100002.600389</v>
      </c>
      <c r="N46" s="561"/>
      <c r="O46" s="561"/>
      <c r="P46" s="561"/>
      <c r="Q46" s="561"/>
      <c r="R46" s="356"/>
      <c r="S46" s="356"/>
      <c r="T46" s="356"/>
      <c r="U46" s="356"/>
      <c r="V46" s="454"/>
    </row>
    <row r="47" spans="1:22" ht="18.75">
      <c r="A47" s="229" t="s">
        <v>7056</v>
      </c>
      <c r="B47" s="225" t="s">
        <v>4134</v>
      </c>
      <c r="C47" s="224">
        <v>1870</v>
      </c>
      <c r="D47" s="302">
        <f>51.79*G47/24</f>
        <v>58.263749999999995</v>
      </c>
      <c r="E47" s="577" t="s">
        <v>7045</v>
      </c>
      <c r="F47" s="578">
        <v>20</v>
      </c>
      <c r="G47" s="579">
        <v>27</v>
      </c>
      <c r="H47" s="302">
        <f t="shared" ref="H47:H48" si="102">C47*D47*0.9912/G47</f>
        <v>3999.7934899999996</v>
      </c>
      <c r="I47" s="555">
        <f t="shared" ref="I47" si="103">(F47+G47)*H47</f>
        <v>187990.29402999999</v>
      </c>
      <c r="J47" s="438">
        <f t="shared" si="97"/>
        <v>63.241210515600663</v>
      </c>
      <c r="K47" s="439">
        <f t="shared" ref="K47" si="104">(J47-D47)*100/D47</f>
        <v>8.5429800100416973</v>
      </c>
      <c r="L47" s="495">
        <f t="shared" ref="L47" si="105">D47*K47/100</f>
        <v>4.9774605156006695</v>
      </c>
      <c r="M47" s="345">
        <f t="shared" si="31"/>
        <v>187990.29402999999</v>
      </c>
      <c r="N47" s="561" t="s">
        <v>25</v>
      </c>
      <c r="O47" s="561" t="s">
        <v>25</v>
      </c>
      <c r="P47" s="561"/>
      <c r="Q47" s="561"/>
      <c r="R47" s="356"/>
      <c r="S47" s="356"/>
      <c r="V47" s="454"/>
    </row>
    <row r="48" spans="1:22" ht="18.75">
      <c r="A48" s="229" t="s">
        <v>7059</v>
      </c>
      <c r="B48" s="225" t="s">
        <v>4134</v>
      </c>
      <c r="C48" s="224">
        <v>2083</v>
      </c>
      <c r="D48" s="302">
        <f>895.06*G48/24</f>
        <v>1006.9425</v>
      </c>
      <c r="E48" s="577" t="s">
        <v>7045</v>
      </c>
      <c r="F48" s="578">
        <v>17.399999999999999</v>
      </c>
      <c r="G48" s="579">
        <v>27</v>
      </c>
      <c r="H48" s="302">
        <f t="shared" si="102"/>
        <v>77000.132173999998</v>
      </c>
      <c r="I48" s="555">
        <f>(F48+G48)*H48</f>
        <v>3418805.8685255996</v>
      </c>
      <c r="J48" s="438">
        <f t="shared" si="97"/>
        <v>1123.8076121186505</v>
      </c>
      <c r="K48" s="439">
        <f t="shared" ref="K48" si="106">(J48-D48)*100/D48</f>
        <v>11.605936994282242</v>
      </c>
      <c r="L48" s="495">
        <f t="shared" ref="L48" si="107">D48*K48/100</f>
        <v>116.86511211865047</v>
      </c>
      <c r="M48" s="345">
        <f t="shared" ref="M48" si="108">(F48+G48)*H48</f>
        <v>3418805.8685255996</v>
      </c>
      <c r="N48" s="552"/>
      <c r="O48" s="552" t="s">
        <v>25</v>
      </c>
      <c r="P48" s="552"/>
      <c r="Q48" s="552" t="s">
        <v>25</v>
      </c>
      <c r="R48" s="356"/>
      <c r="S48" s="356"/>
      <c r="V48" s="454"/>
    </row>
    <row r="49" spans="1:33" ht="18.75">
      <c r="A49" s="592" t="s">
        <v>7060</v>
      </c>
      <c r="B49" s="225" t="s">
        <v>4134</v>
      </c>
      <c r="C49" s="224">
        <v>2096</v>
      </c>
      <c r="D49" s="302">
        <f>135646.94*G49/26</f>
        <v>140864.13</v>
      </c>
      <c r="E49" s="577" t="s">
        <v>7045</v>
      </c>
      <c r="F49" s="578">
        <v>15</v>
      </c>
      <c r="G49" s="579">
        <v>27</v>
      </c>
      <c r="H49" s="302">
        <f t="shared" ref="H49" si="109">C49*D49*0.9912/G49</f>
        <v>10839000.213888001</v>
      </c>
      <c r="I49" s="555">
        <f>(F49+G49)*H49</f>
        <v>455238008.98329604</v>
      </c>
      <c r="J49" s="438">
        <f t="shared" si="97"/>
        <v>146025.13533270246</v>
      </c>
      <c r="K49" s="439">
        <f t="shared" ref="K49" si="110">(J49-D49)*100/D49</f>
        <v>3.6638179873772341</v>
      </c>
      <c r="L49" s="495">
        <f t="shared" ref="L49" si="111">D49*K49/100</f>
        <v>5161.0053327024507</v>
      </c>
      <c r="M49" s="345">
        <f t="shared" ref="M49" si="112">(F49+G49)*H49</f>
        <v>455238008.98329604</v>
      </c>
      <c r="N49" s="585"/>
      <c r="O49" s="585" t="s">
        <v>25</v>
      </c>
      <c r="P49" s="585"/>
      <c r="Q49" s="585"/>
      <c r="R49" s="356"/>
      <c r="S49" s="356"/>
    </row>
    <row r="50" spans="1:33" ht="25.5" customHeight="1">
      <c r="A50" s="592" t="s">
        <v>7070</v>
      </c>
      <c r="B50" s="225" t="s">
        <v>4134</v>
      </c>
      <c r="C50" s="224">
        <v>2133.6999999999998</v>
      </c>
      <c r="D50" s="302">
        <f>13043.5*G50/26</f>
        <v>13545.173076923076</v>
      </c>
      <c r="E50" s="577" t="s">
        <v>7045</v>
      </c>
      <c r="F50" s="578">
        <v>12</v>
      </c>
      <c r="G50" s="579">
        <v>27</v>
      </c>
      <c r="H50" s="302">
        <f t="shared" ref="H50" si="113">C50*D50*0.9912/G50</f>
        <v>1061000.1496015382</v>
      </c>
      <c r="I50" s="555">
        <f>(F50+G50)*H50</f>
        <v>41379005.83445999</v>
      </c>
      <c r="J50" s="438">
        <f t="shared" si="97"/>
        <v>12805.043433395351</v>
      </c>
      <c r="K50" s="439">
        <f t="shared" ref="K50" si="114">(J50-D50)*100/D50</f>
        <v>-5.4641578909662289</v>
      </c>
      <c r="L50" s="495">
        <f t="shared" ref="L50" si="115">D50*K50/100</f>
        <v>-740.12964352772542</v>
      </c>
      <c r="M50" s="345">
        <f t="shared" ref="M50" si="116">(F50+G50)*H50</f>
        <v>41379005.83445999</v>
      </c>
      <c r="N50" s="585"/>
      <c r="O50" s="585"/>
      <c r="P50" s="585"/>
      <c r="Q50" s="585"/>
      <c r="R50" s="356"/>
      <c r="S50" s="356"/>
    </row>
    <row r="51" spans="1:33" ht="18.75">
      <c r="A51" s="229" t="s">
        <v>7048</v>
      </c>
      <c r="B51" s="225" t="s">
        <v>4134</v>
      </c>
      <c r="C51" s="224">
        <v>1818</v>
      </c>
      <c r="D51" s="302">
        <f>1598.223*G51/24</f>
        <v>1798.000875</v>
      </c>
      <c r="E51" s="340" t="s">
        <v>7046</v>
      </c>
      <c r="F51" s="469">
        <v>39</v>
      </c>
      <c r="G51" s="330">
        <v>27</v>
      </c>
      <c r="H51" s="302">
        <f t="shared" si="96"/>
        <v>120000.0167982</v>
      </c>
      <c r="I51" s="555">
        <f t="shared" si="28"/>
        <v>7920001.1086812001</v>
      </c>
      <c r="J51" s="438">
        <f t="shared" ref="J51:J57" si="117">(I51-H51*$O$17)/($O$32*1.003631981)</f>
        <v>2413.7687880097528</v>
      </c>
      <c r="K51" s="439">
        <f t="shared" si="98"/>
        <v>34.247364479717113</v>
      </c>
      <c r="L51" s="495">
        <f t="shared" si="30"/>
        <v>615.76791300975287</v>
      </c>
      <c r="M51" s="345">
        <f t="shared" si="31"/>
        <v>7920001.1086812001</v>
      </c>
      <c r="N51" s="591"/>
      <c r="O51" s="591" t="s">
        <v>25</v>
      </c>
      <c r="P51" s="591"/>
      <c r="Q51" s="591"/>
      <c r="R51" s="356"/>
      <c r="S51" s="356"/>
    </row>
    <row r="52" spans="1:33" ht="23.25" customHeight="1">
      <c r="A52" s="229" t="s">
        <v>7050</v>
      </c>
      <c r="B52" s="225" t="s">
        <v>4134</v>
      </c>
      <c r="C52" s="224">
        <v>1806</v>
      </c>
      <c r="D52" s="302">
        <f>268.141*G52/24</f>
        <v>301.65862500000003</v>
      </c>
      <c r="E52" s="340" t="s">
        <v>7046</v>
      </c>
      <c r="F52" s="469">
        <v>36</v>
      </c>
      <c r="G52" s="330">
        <v>27</v>
      </c>
      <c r="H52" s="302">
        <f t="shared" ref="H52:H54" si="118">C52*D52*0.9912/G52</f>
        <v>20000.047279800001</v>
      </c>
      <c r="I52" s="555">
        <f t="shared" ref="I52:I54" si="119">(F52+G52)*H52</f>
        <v>1260002.9786274</v>
      </c>
      <c r="J52" s="438">
        <f t="shared" si="117"/>
        <v>374.22855135548133</v>
      </c>
      <c r="K52" s="439">
        <f t="shared" ref="K52" si="120">(J52-D52)*100/D52</f>
        <v>24.056970476306219</v>
      </c>
      <c r="L52" s="495">
        <f t="shared" si="30"/>
        <v>72.5699263554813</v>
      </c>
      <c r="M52" s="345">
        <f t="shared" si="31"/>
        <v>1260002.9786274</v>
      </c>
      <c r="N52" s="591"/>
      <c r="O52" s="591" t="s">
        <v>25</v>
      </c>
      <c r="P52" s="591"/>
      <c r="Q52" s="591"/>
      <c r="R52" s="356"/>
      <c r="S52" s="356"/>
    </row>
    <row r="53" spans="1:33" ht="25.5" customHeight="1">
      <c r="A53" s="229" t="s">
        <v>7056</v>
      </c>
      <c r="B53" s="225" t="s">
        <v>4134</v>
      </c>
      <c r="C53" s="224">
        <v>1870</v>
      </c>
      <c r="D53" s="302">
        <f>233.065*G53/24</f>
        <v>262.198125</v>
      </c>
      <c r="E53" s="340" t="s">
        <v>7046</v>
      </c>
      <c r="F53" s="469">
        <v>27</v>
      </c>
      <c r="G53" s="330">
        <v>27</v>
      </c>
      <c r="H53" s="302">
        <f t="shared" si="118"/>
        <v>17999.843014999999</v>
      </c>
      <c r="I53" s="555">
        <f t="shared" si="119"/>
        <v>971991.52280999988</v>
      </c>
      <c r="J53" s="438">
        <f t="shared" si="117"/>
        <v>261.02152102275375</v>
      </c>
      <c r="K53" s="439">
        <f t="shared" ref="K53" si="121">(J53-D53)*100/D53</f>
        <v>-0.44874614463633522</v>
      </c>
      <c r="L53" s="495">
        <f t="shared" ref="L53" si="122">D53*K53/100</f>
        <v>-1.1766039772462591</v>
      </c>
      <c r="M53" s="345">
        <f t="shared" si="31"/>
        <v>971991.52280999988</v>
      </c>
      <c r="N53" s="591"/>
      <c r="O53" s="591"/>
      <c r="P53" s="591"/>
      <c r="Q53" s="591"/>
      <c r="R53" s="356"/>
      <c r="S53" s="356"/>
    </row>
    <row r="54" spans="1:33" ht="18.75">
      <c r="A54" s="229" t="s">
        <v>7059</v>
      </c>
      <c r="B54" s="225" t="s">
        <v>4134</v>
      </c>
      <c r="C54" s="224">
        <v>2083</v>
      </c>
      <c r="D54" s="302">
        <f>476.59*G54/24</f>
        <v>536.16374999999994</v>
      </c>
      <c r="E54" s="340" t="s">
        <v>7046</v>
      </c>
      <c r="F54" s="469">
        <v>23.7</v>
      </c>
      <c r="G54" s="330">
        <v>27</v>
      </c>
      <c r="H54" s="302">
        <f t="shared" si="118"/>
        <v>41000.036860999993</v>
      </c>
      <c r="I54" s="555">
        <f t="shared" si="119"/>
        <v>2078701.8688526999</v>
      </c>
      <c r="J54" s="438">
        <f t="shared" si="117"/>
        <v>531.26342894902939</v>
      </c>
      <c r="K54" s="439">
        <f t="shared" ref="K54" si="123">(J54-D54)*100/D54</f>
        <v>-0.91395978392245791</v>
      </c>
      <c r="L54" s="495">
        <f t="shared" ref="L54" si="124">D54*K54/100</f>
        <v>-4.9003210509705468</v>
      </c>
      <c r="M54" s="345">
        <f t="shared" ref="M54" si="125">(F54+G54)*H54</f>
        <v>2078701.8688526999</v>
      </c>
      <c r="N54" s="591"/>
      <c r="O54" s="591" t="s">
        <v>25</v>
      </c>
      <c r="P54" s="591"/>
      <c r="Q54" s="591"/>
      <c r="R54" s="356"/>
      <c r="S54" s="356"/>
    </row>
    <row r="55" spans="1:33" ht="18.75">
      <c r="A55" s="592" t="s">
        <v>7060</v>
      </c>
      <c r="B55" s="225" t="s">
        <v>4134</v>
      </c>
      <c r="C55" s="224">
        <v>2096</v>
      </c>
      <c r="D55" s="302">
        <f>825.97*G55/26</f>
        <v>857.73807692307696</v>
      </c>
      <c r="E55" s="340" t="s">
        <v>7046</v>
      </c>
      <c r="F55" s="469">
        <v>23.3</v>
      </c>
      <c r="G55" s="330">
        <v>27</v>
      </c>
      <c r="H55" s="302">
        <f t="shared" ref="H55" si="126">C55*D55*0.9912/G55</f>
        <v>65999.933405538453</v>
      </c>
      <c r="I55" s="555">
        <f t="shared" ref="I55" si="127">(F55+G55)*H55</f>
        <v>3319796.6502985838</v>
      </c>
      <c r="J55" s="438">
        <f t="shared" si="117"/>
        <v>842.85341184549031</v>
      </c>
      <c r="K55" s="439">
        <f t="shared" ref="K55" si="128">(J55-D55)*100/D55</f>
        <v>-1.7353391994653773</v>
      </c>
      <c r="L55" s="495">
        <f t="shared" ref="L55" si="129">D55*K55/100</f>
        <v>-14.884665077586646</v>
      </c>
      <c r="M55" s="345">
        <f t="shared" ref="M55" si="130">(F55+G55)*H55</f>
        <v>3319796.6502985838</v>
      </c>
      <c r="N55" s="591"/>
      <c r="O55" s="591"/>
      <c r="P55" s="591"/>
      <c r="Q55" s="591"/>
      <c r="R55" s="356"/>
      <c r="S55" s="356"/>
    </row>
    <row r="56" spans="1:33" ht="21" customHeight="1">
      <c r="A56" s="592" t="s">
        <v>7070</v>
      </c>
      <c r="B56" s="225" t="s">
        <v>4134</v>
      </c>
      <c r="C56" s="224">
        <v>2133.6999999999998</v>
      </c>
      <c r="D56" s="302">
        <f>282.75*G56/26</f>
        <v>293.625</v>
      </c>
      <c r="E56" s="340" t="s">
        <v>7046</v>
      </c>
      <c r="F56" s="469">
        <v>21.7</v>
      </c>
      <c r="G56" s="330">
        <v>27</v>
      </c>
      <c r="H56" s="302">
        <f t="shared" ref="H56" si="131">C56*D56*0.9912/G56</f>
        <v>22999.792409999998</v>
      </c>
      <c r="I56" s="555">
        <f t="shared" ref="I56" si="132">(F56+G56)*H56</f>
        <v>1120089.8903669999</v>
      </c>
      <c r="J56" s="438">
        <f t="shared" si="117"/>
        <v>276.50497156167114</v>
      </c>
      <c r="K56" s="439">
        <f t="shared" ref="K56" si="133">(J56-D56)*100/D56</f>
        <v>-5.8305758836369037</v>
      </c>
      <c r="L56" s="495">
        <f t="shared" ref="L56" si="134">D56*K56/100</f>
        <v>-17.120028438328859</v>
      </c>
      <c r="M56" s="345">
        <f t="shared" ref="M56" si="135">(F56+G56)*H56</f>
        <v>1120089.8903669999</v>
      </c>
      <c r="N56" s="591"/>
      <c r="O56" s="591"/>
      <c r="P56" s="591"/>
      <c r="Q56" s="591"/>
      <c r="R56" s="356"/>
      <c r="S56" s="356"/>
    </row>
    <row r="57" spans="1:33" ht="19.5" customHeight="1">
      <c r="A57" s="229" t="s">
        <v>7070</v>
      </c>
      <c r="B57" s="225" t="s">
        <v>4134</v>
      </c>
      <c r="C57" s="224">
        <v>2133.6999999999998</v>
      </c>
      <c r="D57" s="302">
        <f>1327.71*G57/26</f>
        <v>1378.7757692307691</v>
      </c>
      <c r="E57" s="340" t="s">
        <v>7046</v>
      </c>
      <c r="F57" s="469">
        <v>23</v>
      </c>
      <c r="G57" s="330">
        <v>27</v>
      </c>
      <c r="H57" s="302">
        <f t="shared" ref="H57" si="136">C57*D57*0.9912/G57</f>
        <v>108000.19232778459</v>
      </c>
      <c r="I57" s="555">
        <f t="shared" ref="I57" si="137">(F57+G57)*H57</f>
        <v>5400009.6163892299</v>
      </c>
      <c r="J57" s="438">
        <f t="shared" si="117"/>
        <v>1364.0622742021562</v>
      </c>
      <c r="K57" s="439">
        <f t="shared" ref="K57" si="138">(J57-D57)*100/D57</f>
        <v>-1.0671419789181298</v>
      </c>
      <c r="L57" s="495">
        <f t="shared" ref="L57" si="139">D57*K57/100</f>
        <v>-14.713495028612897</v>
      </c>
      <c r="M57" s="345">
        <f t="shared" ref="M57" si="140">(F57+G57)*H57</f>
        <v>5400009.6163892299</v>
      </c>
      <c r="N57" s="600"/>
      <c r="O57" s="600"/>
      <c r="P57" s="600"/>
      <c r="Q57" s="600"/>
      <c r="R57" s="356"/>
      <c r="S57" s="356"/>
      <c r="AC57" s="351"/>
      <c r="AD57" s="351"/>
      <c r="AE57" s="351"/>
      <c r="AF57" s="351"/>
      <c r="AG57" s="351"/>
    </row>
    <row r="58" spans="1:33" ht="20.25" customHeight="1">
      <c r="A58" s="229" t="s">
        <v>7048</v>
      </c>
      <c r="B58" s="225" t="s">
        <v>4134</v>
      </c>
      <c r="C58" s="224">
        <v>1818</v>
      </c>
      <c r="D58" s="302">
        <f>799.112*G58/24</f>
        <v>899.00099999999986</v>
      </c>
      <c r="E58" s="250" t="s">
        <v>7047</v>
      </c>
      <c r="F58" s="333">
        <v>45</v>
      </c>
      <c r="G58" s="318">
        <v>27</v>
      </c>
      <c r="H58" s="302">
        <f t="shared" si="96"/>
        <v>60000.045940799995</v>
      </c>
      <c r="I58" s="555">
        <f t="shared" si="28"/>
        <v>4320003.3077376001</v>
      </c>
      <c r="J58" s="438">
        <f t="shared" ref="J58:J63" si="141">(I58-H58*$O$16)/($O$32*1.003631981)</f>
        <v>1178.8180526545273</v>
      </c>
      <c r="K58" s="439">
        <f t="shared" si="98"/>
        <v>31.125332747630697</v>
      </c>
      <c r="L58" s="495">
        <f t="shared" si="30"/>
        <v>279.8170526545274</v>
      </c>
      <c r="M58" s="345">
        <f t="shared" si="31"/>
        <v>4320003.3077376001</v>
      </c>
      <c r="N58" s="600"/>
      <c r="O58" s="600"/>
      <c r="P58" s="600"/>
      <c r="Q58" s="600"/>
      <c r="R58" s="356"/>
      <c r="S58" s="356"/>
      <c r="Z58" s="454"/>
      <c r="AC58" s="351"/>
      <c r="AD58" s="351"/>
      <c r="AE58" s="351"/>
      <c r="AF58" s="351"/>
      <c r="AG58" s="351"/>
    </row>
    <row r="59" spans="1:33" ht="18.75">
      <c r="A59" s="229" t="s">
        <v>7050</v>
      </c>
      <c r="B59" s="225" t="s">
        <v>4134</v>
      </c>
      <c r="C59" s="224">
        <v>1806</v>
      </c>
      <c r="D59" s="302">
        <f>201.106*G59/24</f>
        <v>226.24424999999999</v>
      </c>
      <c r="E59" s="250" t="s">
        <v>7047</v>
      </c>
      <c r="F59" s="333">
        <v>44</v>
      </c>
      <c r="G59" s="318">
        <v>27</v>
      </c>
      <c r="H59" s="302">
        <f t="shared" ref="H59:H64" si="142">C59*D59*0.9912/G59</f>
        <v>15000.0541068</v>
      </c>
      <c r="I59" s="555">
        <f t="shared" ref="I59:I64" si="143">(F59+G59)*H59</f>
        <v>1065003.8415828</v>
      </c>
      <c r="J59" s="438">
        <f t="shared" si="141"/>
        <v>287.68855648751145</v>
      </c>
      <c r="K59" s="439">
        <f t="shared" ref="K59:K64" si="144">(J59-D59)*100/D59</f>
        <v>27.158394738213882</v>
      </c>
      <c r="L59" s="495">
        <f t="shared" si="30"/>
        <v>61.444306487511454</v>
      </c>
      <c r="M59" s="345">
        <f t="shared" si="31"/>
        <v>1065003.8415828</v>
      </c>
      <c r="N59" s="600"/>
      <c r="O59" s="600"/>
      <c r="P59" s="600"/>
      <c r="Q59" s="600"/>
      <c r="R59" s="356"/>
      <c r="S59" s="356"/>
      <c r="Z59" s="454"/>
      <c r="AC59" s="351"/>
      <c r="AD59" s="351"/>
      <c r="AE59" s="351"/>
      <c r="AF59" s="351"/>
      <c r="AG59" s="351"/>
    </row>
    <row r="60" spans="1:33" ht="18.75">
      <c r="A60" s="229" t="s">
        <v>7059</v>
      </c>
      <c r="B60" s="225" t="s">
        <v>4134</v>
      </c>
      <c r="C60" s="224">
        <v>2083</v>
      </c>
      <c r="D60" s="302">
        <f>557.96*G60/24</f>
        <v>627.70500000000004</v>
      </c>
      <c r="E60" s="250" t="s">
        <v>7047</v>
      </c>
      <c r="F60" s="333">
        <v>31.6</v>
      </c>
      <c r="G60" s="318">
        <v>27</v>
      </c>
      <c r="H60" s="302">
        <f t="shared" si="142"/>
        <v>48000.127084</v>
      </c>
      <c r="I60" s="555">
        <f t="shared" si="143"/>
        <v>2812807.4471224002</v>
      </c>
      <c r="J60" s="438">
        <f t="shared" si="141"/>
        <v>642.17637624246311</v>
      </c>
      <c r="K60" s="439">
        <f t="shared" ref="K60" si="145">(J60-D60)*100/D60</f>
        <v>2.3054422447587744</v>
      </c>
      <c r="L60" s="495">
        <f t="shared" ref="L60" si="146">D60*K60/100</f>
        <v>14.471376242463066</v>
      </c>
      <c r="M60" s="345">
        <f t="shared" ref="M60" si="147">(F60+G60)*H60</f>
        <v>2812807.4471224002</v>
      </c>
      <c r="N60" s="600"/>
      <c r="O60" s="600"/>
      <c r="P60" s="600"/>
      <c r="Q60" s="600"/>
      <c r="R60" s="356"/>
      <c r="S60" s="356"/>
      <c r="Z60" s="454"/>
      <c r="AC60" s="351"/>
      <c r="AD60" s="351"/>
      <c r="AE60" s="351"/>
      <c r="AF60" s="351"/>
      <c r="AG60" s="351"/>
    </row>
    <row r="61" spans="1:33" ht="18.75">
      <c r="A61" s="592" t="s">
        <v>7060</v>
      </c>
      <c r="B61" s="225" t="s">
        <v>4134</v>
      </c>
      <c r="C61" s="224">
        <v>2096</v>
      </c>
      <c r="D61" s="302">
        <f>500.59*G61/26</f>
        <v>519.8434615384615</v>
      </c>
      <c r="E61" s="250" t="s">
        <v>7047</v>
      </c>
      <c r="F61" s="333">
        <v>30.2</v>
      </c>
      <c r="G61" s="318">
        <v>27</v>
      </c>
      <c r="H61" s="302">
        <f t="shared" ref="H61" si="148">C61*D61*0.9912/G61</f>
        <v>40000.129137230761</v>
      </c>
      <c r="I61" s="555">
        <f t="shared" ref="I61" si="149">(F61+G61)*H61</f>
        <v>2288007.3866495998</v>
      </c>
      <c r="J61" s="438">
        <f t="shared" si="141"/>
        <v>508.95126980026146</v>
      </c>
      <c r="K61" s="439">
        <f t="shared" ref="K61" si="150">(J61-D61)*100/D61</f>
        <v>-2.095283011921496</v>
      </c>
      <c r="L61" s="495">
        <f t="shared" ref="L61" si="151">D61*K61/100</f>
        <v>-10.89219173820004</v>
      </c>
      <c r="M61" s="345">
        <f t="shared" ref="M61" si="152">(F61+G61)*H61</f>
        <v>2288007.3866495998</v>
      </c>
      <c r="N61" s="600"/>
      <c r="O61" s="600"/>
      <c r="P61" s="600"/>
      <c r="Q61" s="600"/>
      <c r="R61" s="356"/>
      <c r="S61" s="356"/>
      <c r="Z61" s="454"/>
      <c r="AC61" s="351"/>
      <c r="AD61" s="351"/>
      <c r="AE61" s="351"/>
      <c r="AF61" s="351"/>
      <c r="AG61" s="351"/>
    </row>
    <row r="62" spans="1:33" ht="24" customHeight="1">
      <c r="A62" s="592" t="s">
        <v>7070</v>
      </c>
      <c r="B62" s="225" t="s">
        <v>4134</v>
      </c>
      <c r="C62" s="224">
        <v>2133.6999999999998</v>
      </c>
      <c r="D62" s="302">
        <f>122.94*G62/26</f>
        <v>127.66846153846154</v>
      </c>
      <c r="E62" s="250" t="s">
        <v>7047</v>
      </c>
      <c r="F62" s="333">
        <v>28</v>
      </c>
      <c r="G62" s="318">
        <v>27</v>
      </c>
      <c r="H62" s="302">
        <f t="shared" ref="H62" si="153">C62*D62*0.9912/G62</f>
        <v>10000.334142830769</v>
      </c>
      <c r="I62" s="555">
        <f t="shared" ref="I62" si="154">(F62+G62)*H62</f>
        <v>550018.37785569229</v>
      </c>
      <c r="J62" s="438">
        <f t="shared" si="141"/>
        <v>116.95005351069045</v>
      </c>
      <c r="K62" s="439">
        <f t="shared" ref="K62" si="155">(J62-D62)*100/D62</f>
        <v>-8.3955018323315898</v>
      </c>
      <c r="L62" s="495">
        <f t="shared" ref="L62" si="156">D62*K62/100</f>
        <v>-10.71840802777109</v>
      </c>
      <c r="M62" s="345">
        <f t="shared" ref="M62" si="157">(F62+G62)*H62</f>
        <v>550018.37785569229</v>
      </c>
      <c r="N62" s="600"/>
      <c r="O62" s="600"/>
      <c r="P62" s="600"/>
      <c r="Q62" s="600"/>
      <c r="R62" s="356"/>
      <c r="S62" s="356"/>
      <c r="Z62" s="454"/>
      <c r="AC62" s="351"/>
      <c r="AD62" s="351"/>
      <c r="AE62" s="351"/>
      <c r="AF62" s="351"/>
      <c r="AG62" s="351"/>
    </row>
    <row r="63" spans="1:33" ht="18.75">
      <c r="A63" s="229" t="s">
        <v>7070</v>
      </c>
      <c r="B63" s="225" t="s">
        <v>4134</v>
      </c>
      <c r="C63" s="224">
        <v>2133.6999999999998</v>
      </c>
      <c r="D63" s="302">
        <f>1413.76*G63/26</f>
        <v>1468.1353846153845</v>
      </c>
      <c r="E63" s="250" t="s">
        <v>7047</v>
      </c>
      <c r="F63" s="333">
        <v>30</v>
      </c>
      <c r="G63" s="318">
        <v>27</v>
      </c>
      <c r="H63" s="302">
        <f t="shared" ref="H63" si="158">C63*D63*0.9912/G63</f>
        <v>114999.7754820923</v>
      </c>
      <c r="I63" s="555">
        <f t="shared" ref="I63" si="159">(F63+G63)*H63</f>
        <v>6554987.202479261</v>
      </c>
      <c r="J63" s="438">
        <f t="shared" si="141"/>
        <v>1452.4682956188026</v>
      </c>
      <c r="K63" s="439">
        <f t="shared" ref="K63" si="160">(J63-D63)*100/D63</f>
        <v>-1.0671419789181307</v>
      </c>
      <c r="L63" s="495">
        <f t="shared" ref="L63" si="161">D63*K63/100</f>
        <v>-15.667088996581924</v>
      </c>
      <c r="M63" s="345">
        <f t="shared" ref="M63" si="162">(F63+G63)*H63</f>
        <v>6554987.202479261</v>
      </c>
      <c r="N63" s="600"/>
      <c r="O63" s="600"/>
      <c r="P63" s="600"/>
      <c r="Q63" s="600"/>
      <c r="R63" s="356"/>
      <c r="S63" s="356"/>
      <c r="Z63" s="454"/>
      <c r="AC63" s="351"/>
      <c r="AD63" s="351"/>
      <c r="AE63" s="351"/>
      <c r="AF63" s="351"/>
      <c r="AG63" s="351"/>
    </row>
    <row r="64" spans="1:33" ht="21.75" customHeight="1">
      <c r="A64" s="229" t="s">
        <v>7050</v>
      </c>
      <c r="B64" s="225" t="s">
        <v>4134</v>
      </c>
      <c r="C64" s="224">
        <v>1806</v>
      </c>
      <c r="D64" s="302">
        <f>134.071*G64/24</f>
        <v>150.82987499999999</v>
      </c>
      <c r="E64" s="436" t="s">
        <v>7049</v>
      </c>
      <c r="F64" s="437">
        <v>53</v>
      </c>
      <c r="G64" s="484">
        <v>27</v>
      </c>
      <c r="H64" s="302">
        <f t="shared" si="142"/>
        <v>10000.060933799999</v>
      </c>
      <c r="I64" s="555">
        <f t="shared" si="143"/>
        <v>800004.87470399996</v>
      </c>
      <c r="J64" s="438">
        <f>(I64-H64*$O$15)/($O$32*1.003631981)</f>
        <v>205.82647084801954</v>
      </c>
      <c r="K64" s="439">
        <f t="shared" si="144"/>
        <v>36.462667523936858</v>
      </c>
      <c r="L64" s="495">
        <f t="shared" si="30"/>
        <v>54.996595848019552</v>
      </c>
      <c r="M64" s="345">
        <f t="shared" si="31"/>
        <v>800004.87470399996</v>
      </c>
      <c r="N64" s="600"/>
      <c r="O64" s="600"/>
      <c r="P64" s="600"/>
      <c r="Q64" s="600"/>
      <c r="R64" s="356"/>
      <c r="S64" s="356"/>
      <c r="W64" s="454"/>
      <c r="X64" s="454"/>
      <c r="Y64" s="454"/>
      <c r="Z64" s="454"/>
      <c r="AC64" s="351"/>
      <c r="AD64" s="351"/>
      <c r="AE64" s="351"/>
      <c r="AF64" s="351"/>
      <c r="AG64" s="351"/>
    </row>
    <row r="65" spans="1:35" ht="18.75">
      <c r="A65" s="229" t="s">
        <v>7056</v>
      </c>
      <c r="B65" s="225" t="s">
        <v>4134</v>
      </c>
      <c r="C65" s="224">
        <v>1870</v>
      </c>
      <c r="D65" s="302">
        <f>168.32*G65/24</f>
        <v>189.35999999999999</v>
      </c>
      <c r="E65" s="436" t="s">
        <v>7049</v>
      </c>
      <c r="F65" s="437">
        <v>41</v>
      </c>
      <c r="G65" s="484">
        <v>27</v>
      </c>
      <c r="H65" s="302">
        <f t="shared" ref="H65:H66" si="163">C65*D65*0.9912/G65</f>
        <v>12999.521919999997</v>
      </c>
      <c r="I65" s="555">
        <f t="shared" ref="I65:I66" si="164">(F65+G65)*H65</f>
        <v>883967.49055999983</v>
      </c>
      <c r="J65" s="438">
        <f>(I65-H65*$O$15)/($O$32*1.003631981)</f>
        <v>194.59123024569459</v>
      </c>
      <c r="K65" s="439">
        <f t="shared" ref="K65" si="165">(J65-D65)*100/D65</f>
        <v>2.7625846248915318</v>
      </c>
      <c r="L65" s="495">
        <f t="shared" ref="L65" si="166">D65*K65/100</f>
        <v>5.2312302456946043</v>
      </c>
      <c r="M65" s="345">
        <f t="shared" si="31"/>
        <v>883967.49055999983</v>
      </c>
      <c r="N65" s="591"/>
      <c r="O65" s="591"/>
      <c r="P65" s="591"/>
      <c r="Q65" s="591"/>
      <c r="R65" s="356"/>
      <c r="S65" s="356"/>
      <c r="W65" s="454"/>
      <c r="X65" s="454"/>
      <c r="Y65" s="454"/>
      <c r="Z65" s="454"/>
      <c r="AC65" s="351"/>
      <c r="AD65" s="351"/>
      <c r="AE65" s="351"/>
      <c r="AF65" s="351"/>
      <c r="AG65" s="351"/>
    </row>
    <row r="66" spans="1:35" ht="18.75">
      <c r="A66" s="229" t="s">
        <v>7059</v>
      </c>
      <c r="B66" s="225" t="s">
        <v>4134</v>
      </c>
      <c r="C66" s="224">
        <v>2083</v>
      </c>
      <c r="D66" s="302">
        <f>209.24*G66/24</f>
        <v>235.39500000000001</v>
      </c>
      <c r="E66" s="436" t="s">
        <v>7049</v>
      </c>
      <c r="F66" s="437">
        <v>38</v>
      </c>
      <c r="G66" s="484">
        <v>27</v>
      </c>
      <c r="H66" s="302">
        <f t="shared" si="163"/>
        <v>18000.477796000003</v>
      </c>
      <c r="I66" s="555">
        <f t="shared" si="164"/>
        <v>1170031.0567400001</v>
      </c>
      <c r="J66" s="438">
        <f>(I66-H66*$O$15)/($O$32*1.003631981)</f>
        <v>244.1900341744562</v>
      </c>
      <c r="K66" s="439">
        <f t="shared" ref="K66" si="167">(J66-D66)*100/D66</f>
        <v>3.7362875908393085</v>
      </c>
      <c r="L66" s="495">
        <f t="shared" ref="L66" si="168">D66*K66/100</f>
        <v>8.7950341744561911</v>
      </c>
      <c r="M66" s="345">
        <f t="shared" ref="M66" si="169">(F66+G66)*H66</f>
        <v>1170031.0567400001</v>
      </c>
      <c r="N66" s="585" t="s">
        <v>25</v>
      </c>
      <c r="O66" s="585"/>
      <c r="P66" s="585"/>
      <c r="Q66" s="585"/>
      <c r="R66" s="356"/>
      <c r="S66" s="356"/>
      <c r="W66" s="454"/>
      <c r="X66" s="454"/>
      <c r="Y66" s="454"/>
      <c r="Z66" s="454"/>
      <c r="AC66" s="351"/>
      <c r="AD66" s="351"/>
      <c r="AE66" s="351"/>
      <c r="AF66" s="351"/>
      <c r="AG66" s="351"/>
    </row>
    <row r="67" spans="1:35" ht="25.5" customHeight="1">
      <c r="A67" s="592" t="s">
        <v>7060</v>
      </c>
      <c r="B67" s="225" t="s">
        <v>4134</v>
      </c>
      <c r="C67" s="224">
        <v>2096</v>
      </c>
      <c r="D67" s="302">
        <f>1439.19*G67/26</f>
        <v>1494.5434615384618</v>
      </c>
      <c r="E67" s="436" t="s">
        <v>7049</v>
      </c>
      <c r="F67" s="437">
        <v>35.700000000000003</v>
      </c>
      <c r="G67" s="484">
        <v>27</v>
      </c>
      <c r="H67" s="302">
        <f t="shared" ref="H67" si="170">C67*D67*0.9912/G67</f>
        <v>114999.8718572308</v>
      </c>
      <c r="I67" s="555">
        <f t="shared" ref="I67" si="171">(F67+G67)*H67</f>
        <v>7210491.9654483711</v>
      </c>
      <c r="J67" s="438">
        <f>(I67-H67*$O$15)/($O$32*1.003631981)</f>
        <v>1436.330962711683</v>
      </c>
      <c r="K67" s="439">
        <f t="shared" ref="K67" si="172">(J67-D67)*100/D67</f>
        <v>-3.8950020742023548</v>
      </c>
      <c r="L67" s="495">
        <f t="shared" ref="L67" si="173">D67*K67/100</f>
        <v>-58.212498826778756</v>
      </c>
      <c r="M67" s="345">
        <f t="shared" ref="M67" si="174">(F67+G67)*H67</f>
        <v>7210491.9654483711</v>
      </c>
      <c r="N67" t="s">
        <v>25</v>
      </c>
      <c r="W67" s="454"/>
      <c r="X67" s="454"/>
      <c r="Y67" s="454"/>
      <c r="Z67" s="454"/>
      <c r="AC67" s="351"/>
      <c r="AD67" s="351"/>
      <c r="AE67" s="351"/>
      <c r="AF67" s="351"/>
      <c r="AG67" s="351"/>
    </row>
    <row r="68" spans="1:35" ht="18.75">
      <c r="A68" s="229"/>
      <c r="B68" s="225"/>
      <c r="C68" s="224"/>
      <c r="D68" s="302"/>
      <c r="E68" s="436"/>
      <c r="F68" s="437"/>
      <c r="G68" s="484"/>
      <c r="H68" s="438"/>
      <c r="I68" s="438"/>
      <c r="J68" s="438"/>
      <c r="K68" s="439"/>
      <c r="L68" s="495"/>
      <c r="M68" s="535"/>
      <c r="N68" s="586"/>
      <c r="O68" s="586"/>
      <c r="P68" s="586"/>
      <c r="Q68" s="586"/>
      <c r="R68" s="586"/>
      <c r="S68" s="586"/>
      <c r="W68" s="454"/>
      <c r="X68" s="454"/>
      <c r="Y68" s="454"/>
      <c r="Z68" s="454"/>
      <c r="AC68" s="351"/>
      <c r="AD68" s="351"/>
      <c r="AE68" s="351"/>
      <c r="AF68" s="351"/>
      <c r="AG68" s="351"/>
    </row>
    <row r="69" spans="1:35" ht="18.75">
      <c r="A69" s="229" t="s">
        <v>25</v>
      </c>
      <c r="B69" s="225"/>
      <c r="C69" s="224"/>
      <c r="D69" s="302"/>
      <c r="E69" s="436"/>
      <c r="F69" s="437"/>
      <c r="G69" s="484"/>
      <c r="H69" s="438"/>
      <c r="I69" s="483"/>
      <c r="J69" s="438"/>
      <c r="K69" s="439"/>
      <c r="L69" s="495"/>
      <c r="M69" s="535"/>
      <c r="N69" s="560"/>
      <c r="O69" s="560"/>
      <c r="P69" s="560"/>
      <c r="Q69" s="560"/>
      <c r="R69" s="560"/>
      <c r="S69" s="560"/>
      <c r="X69" s="454"/>
      <c r="Y69" s="454"/>
      <c r="Z69" s="454"/>
      <c r="AA69" s="454"/>
      <c r="AB69" s="454"/>
      <c r="AE69" s="351"/>
      <c r="AF69" s="351"/>
      <c r="AG69" s="351"/>
      <c r="AH69" s="351"/>
      <c r="AI69" s="351"/>
    </row>
    <row r="70" spans="1:35" ht="18.75">
      <c r="A70" s="229" t="s">
        <v>7022</v>
      </c>
      <c r="B70" s="225" t="s">
        <v>4134</v>
      </c>
      <c r="C70" s="224">
        <v>2149</v>
      </c>
      <c r="D70" s="302">
        <v>1</v>
      </c>
      <c r="E70" s="543" t="s">
        <v>6908</v>
      </c>
      <c r="F70" s="544">
        <v>2066.1</v>
      </c>
      <c r="G70" s="545">
        <f>C70*D70*0.9912/(F70*1.00115)</f>
        <v>1.0297865600341516</v>
      </c>
      <c r="H70" s="546">
        <f>C70/F70</f>
        <v>1.0401239049416775</v>
      </c>
      <c r="I70" s="547">
        <f>$O$32/$O$29</f>
        <v>1.226252158894646</v>
      </c>
      <c r="J70" s="546">
        <f>I70/H70</f>
        <v>1.1789481551848433</v>
      </c>
      <c r="K70" s="439">
        <f>(1/J70-1.0152)*100</f>
        <v>-16.698628033629415</v>
      </c>
      <c r="L70" s="495"/>
      <c r="M70" s="535"/>
      <c r="N70" s="560"/>
      <c r="O70" s="560"/>
      <c r="P70" s="560"/>
      <c r="Q70" s="560"/>
      <c r="R70" s="560"/>
      <c r="S70" s="560"/>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c r="M71" s="535"/>
      <c r="P71" s="366"/>
      <c r="Q71" s="366"/>
      <c r="R71" s="534"/>
      <c r="S71" s="534"/>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t="s">
        <v>25</v>
      </c>
      <c r="M72" s="535"/>
      <c r="N72" s="515" t="s">
        <v>6929</v>
      </c>
      <c r="O72" s="515" t="s">
        <v>6930</v>
      </c>
      <c r="P72" s="516" t="s">
        <v>4387</v>
      </c>
      <c r="Q72" s="517" t="s">
        <v>6931</v>
      </c>
      <c r="X72" s="454"/>
      <c r="Y72" s="454"/>
      <c r="Z72" s="454"/>
      <c r="AA72" s="454"/>
      <c r="AB72" s="454"/>
      <c r="AE72" s="351"/>
      <c r="AF72" s="351"/>
      <c r="AG72" s="351"/>
      <c r="AH72" s="351"/>
      <c r="AI72" s="351"/>
    </row>
    <row r="73" spans="1:35" ht="18.75">
      <c r="A73" s="229"/>
      <c r="B73" s="225"/>
      <c r="C73" s="224"/>
      <c r="D73" s="302"/>
      <c r="E73" s="543"/>
      <c r="F73" s="544"/>
      <c r="G73" s="545"/>
      <c r="H73" s="546"/>
      <c r="I73" s="547"/>
      <c r="J73" s="546"/>
      <c r="K73" s="439"/>
      <c r="L73" s="495"/>
      <c r="M73" s="535"/>
      <c r="N73" s="548">
        <f>L78-M78</f>
        <v>168918.155923154</v>
      </c>
      <c r="O73" s="548">
        <f>N73*$O$29*0.99885/($O$32*1.003631981)</f>
        <v>137095.22503675005</v>
      </c>
      <c r="P73" s="438">
        <f>O73/D78</f>
        <v>0.84534841799495641</v>
      </c>
      <c r="Q73" s="438">
        <f>100*(O73-D78)/D78</f>
        <v>-15.465158200504357</v>
      </c>
      <c r="R73" s="382" t="s">
        <v>422</v>
      </c>
      <c r="S73" s="525">
        <f>C78*D78*Q73/100</f>
        <v>-55052301.044333629</v>
      </c>
      <c r="X73" s="454"/>
      <c r="Y73" s="454"/>
      <c r="Z73" s="454"/>
      <c r="AA73" s="454"/>
      <c r="AB73" s="454"/>
      <c r="AE73" s="351"/>
      <c r="AF73" s="351"/>
      <c r="AG73" s="351"/>
      <c r="AH73" s="351"/>
      <c r="AI73" s="351"/>
    </row>
    <row r="74" spans="1:35" ht="18.75">
      <c r="A74" s="229"/>
      <c r="B74" s="225"/>
      <c r="C74" s="224"/>
      <c r="D74" s="302"/>
      <c r="E74" s="543"/>
      <c r="F74" s="544"/>
      <c r="G74" s="545"/>
      <c r="H74" s="546"/>
      <c r="I74" s="547"/>
      <c r="J74" s="546"/>
      <c r="K74" s="439"/>
      <c r="L74" s="495"/>
      <c r="M74" s="535"/>
      <c r="N74" s="548">
        <f>L79-M79</f>
        <v>156307.06594344665</v>
      </c>
      <c r="O74" s="548">
        <f>N74*$O$29*0.99885/($O$32*1.003631981)</f>
        <v>126859.97110991216</v>
      </c>
      <c r="P74" s="438">
        <f>O74/D79</f>
        <v>0.84356798290994561</v>
      </c>
      <c r="Q74" s="438">
        <f>100*(O74-D79)/D79</f>
        <v>-15.643201709005444</v>
      </c>
      <c r="R74" s="382" t="s">
        <v>422</v>
      </c>
      <c r="S74" s="525">
        <f>C79*D79*Q74/100</f>
        <v>-48343934.369130507</v>
      </c>
      <c r="X74" s="454"/>
      <c r="Y74" s="454"/>
      <c r="Z74" s="454"/>
      <c r="AA74" s="454"/>
      <c r="AB74" s="454"/>
      <c r="AE74" s="351"/>
      <c r="AF74" s="351"/>
      <c r="AG74" s="351"/>
      <c r="AH74" s="351"/>
      <c r="AI74" s="351"/>
    </row>
    <row r="75" spans="1:35" ht="21" customHeight="1">
      <c r="A75" s="229"/>
      <c r="B75" s="225"/>
      <c r="C75" s="224"/>
      <c r="D75" s="302"/>
      <c r="E75" s="543"/>
      <c r="F75" s="544"/>
      <c r="G75" s="545"/>
      <c r="H75" s="546"/>
      <c r="I75" s="547"/>
      <c r="J75" s="546"/>
      <c r="K75" s="439"/>
      <c r="L75" s="495"/>
      <c r="M75" s="535"/>
      <c r="N75" s="508">
        <f>L80-M80</f>
        <v>49608.980860468058</v>
      </c>
      <c r="O75" s="508">
        <f>N75*$O$31*0.9912/($O$32*1.003631981)</f>
        <v>2967.2710106625291</v>
      </c>
      <c r="P75" s="438">
        <f>O75/D80</f>
        <v>1.0969375836537325</v>
      </c>
      <c r="Q75" s="438">
        <f>100*(O75-D80)/D80</f>
        <v>9.6937583653732418</v>
      </c>
      <c r="R75" s="382" t="s">
        <v>422</v>
      </c>
      <c r="S75" s="525">
        <f>C80*D80*Q75/100</f>
        <v>700816.95240941364</v>
      </c>
      <c r="X75" s="454"/>
      <c r="Y75" s="454"/>
      <c r="Z75" s="454"/>
      <c r="AA75" s="454"/>
      <c r="AB75" s="454"/>
      <c r="AE75" s="351"/>
      <c r="AF75" s="351"/>
      <c r="AG75" s="351"/>
      <c r="AH75" s="351"/>
      <c r="AI75" s="351"/>
    </row>
    <row r="76" spans="1:35" ht="18.75">
      <c r="A76" s="229"/>
      <c r="B76" s="225"/>
      <c r="C76" s="224"/>
      <c r="D76" s="302"/>
      <c r="E76" s="543"/>
      <c r="F76" s="544" t="s">
        <v>25</v>
      </c>
      <c r="G76" s="545"/>
      <c r="H76" s="546"/>
      <c r="I76" s="547"/>
      <c r="J76" s="546"/>
      <c r="K76" s="439"/>
      <c r="L76" s="495"/>
      <c r="M76" s="535"/>
      <c r="N76" s="506" t="e">
        <f>L81-M81</f>
        <v>#REF!</v>
      </c>
      <c r="O76" s="506" t="e">
        <f>N76*$O$30*0.9912/($O$33*1.003631981)</f>
        <v>#REF!</v>
      </c>
      <c r="P76" s="438" t="e">
        <f>O76/D81</f>
        <v>#REF!</v>
      </c>
      <c r="Q76" s="438" t="e">
        <f>100*(O76-D81)/D81</f>
        <v>#REF!</v>
      </c>
      <c r="R76" s="382" t="s">
        <v>422</v>
      </c>
      <c r="S76" s="525" t="e">
        <f>C81*D81*Q76/100</f>
        <v>#REF!</v>
      </c>
      <c r="X76" s="454"/>
      <c r="Y76" s="454"/>
      <c r="Z76" s="454"/>
      <c r="AA76" s="454"/>
      <c r="AB76" s="454"/>
      <c r="AE76" s="351"/>
      <c r="AF76" s="351"/>
      <c r="AG76" s="351"/>
      <c r="AH76" s="351"/>
      <c r="AI76" s="351"/>
    </row>
    <row r="77" spans="1:35" ht="18.75">
      <c r="A77" s="500"/>
      <c r="B77" s="501"/>
      <c r="C77" s="502"/>
      <c r="D77" s="370"/>
      <c r="E77" s="430"/>
      <c r="F77" s="513" t="s">
        <v>6922</v>
      </c>
      <c r="G77" s="513"/>
      <c r="H77" s="513" t="s">
        <v>6923</v>
      </c>
      <c r="I77" s="470" t="s">
        <v>6924</v>
      </c>
      <c r="J77" s="430" t="s">
        <v>6925</v>
      </c>
      <c r="K77" s="514" t="s">
        <v>6926</v>
      </c>
      <c r="L77" s="430" t="s">
        <v>6927</v>
      </c>
      <c r="M77" s="515" t="s">
        <v>6928</v>
      </c>
      <c r="N77" s="506" t="e">
        <f>L82-M82</f>
        <v>#REF!</v>
      </c>
      <c r="O77" s="506" t="e">
        <f>N77*$O$30*0.9912/($O$33*1.003631981)</f>
        <v>#REF!</v>
      </c>
      <c r="P77" s="438" t="e">
        <f>O77/D82</f>
        <v>#REF!</v>
      </c>
      <c r="Q77" s="438" t="e">
        <f>100*(O77-D82)/D82</f>
        <v>#REF!</v>
      </c>
      <c r="R77" s="382" t="s">
        <v>4317</v>
      </c>
      <c r="S77" s="525" t="e">
        <f>C82*D82*Q77/100</f>
        <v>#REF!</v>
      </c>
      <c r="X77" s="454"/>
      <c r="Y77" s="454"/>
      <c r="Z77" s="454"/>
      <c r="AA77" s="454"/>
      <c r="AB77" s="454"/>
      <c r="AE77" s="351"/>
      <c r="AF77" s="351"/>
      <c r="AG77" s="351"/>
      <c r="AH77" s="351"/>
      <c r="AI77" s="351"/>
    </row>
    <row r="78" spans="1:35" ht="23.25">
      <c r="A78" s="527" t="s">
        <v>7023</v>
      </c>
      <c r="B78" s="225" t="s">
        <v>4134</v>
      </c>
      <c r="C78" s="224">
        <v>2195</v>
      </c>
      <c r="D78" s="302">
        <v>162176</v>
      </c>
      <c r="E78" s="543" t="s">
        <v>6908</v>
      </c>
      <c r="F78" s="544">
        <v>2163</v>
      </c>
      <c r="G78" s="545" t="s">
        <v>7016</v>
      </c>
      <c r="H78" s="546">
        <v>125</v>
      </c>
      <c r="I78" s="547">
        <v>2163</v>
      </c>
      <c r="J78" s="546">
        <f t="shared" ref="J78" si="175">C78*D78*0.9912/(F78*1.00115)</f>
        <v>162939.63208329838</v>
      </c>
      <c r="K78" s="548">
        <f t="shared" ref="K78" si="176">J78*H78*0.99885/(I78*1.00115-H78*0.99885)</f>
        <v>9969.4797562148033</v>
      </c>
      <c r="L78" s="549">
        <f t="shared" ref="L78:L82" si="177">K78+J78</f>
        <v>172909.11183951318</v>
      </c>
      <c r="M78" s="548">
        <f>L78*40*1.00115/($O$29*0.99885)</f>
        <v>3990.9559163591643</v>
      </c>
      <c r="X78" s="454"/>
      <c r="Y78" s="454"/>
      <c r="Z78" s="454"/>
      <c r="AA78" s="454"/>
      <c r="AB78" s="454"/>
      <c r="AE78" s="351"/>
      <c r="AF78" s="351"/>
      <c r="AG78" s="351"/>
      <c r="AH78" s="351"/>
      <c r="AI78" s="351"/>
    </row>
    <row r="79" spans="1:35" ht="23.25">
      <c r="A79" s="527" t="s">
        <v>7025</v>
      </c>
      <c r="B79" s="225" t="s">
        <v>4134</v>
      </c>
      <c r="C79" s="224">
        <v>2055</v>
      </c>
      <c r="D79" s="302">
        <v>150385</v>
      </c>
      <c r="E79" s="543" t="s">
        <v>6908</v>
      </c>
      <c r="F79" s="544">
        <v>2047</v>
      </c>
      <c r="G79" s="545" t="s">
        <v>7016</v>
      </c>
      <c r="H79" s="546">
        <v>135</v>
      </c>
      <c r="I79" s="547">
        <v>2047</v>
      </c>
      <c r="J79" s="546">
        <f t="shared" ref="J79" si="178">C79*D79*0.9912/(F79*1.00115)</f>
        <v>149472.27525668393</v>
      </c>
      <c r="K79" s="548">
        <f t="shared" ref="K79" si="179">J79*H79*0.99885/(I79*1.00115-H79*0.99885)</f>
        <v>10527.789856606458</v>
      </c>
      <c r="L79" s="549">
        <f t="shared" si="177"/>
        <v>160000.06511329039</v>
      </c>
      <c r="M79" s="548">
        <f>L79*40*1.00115/($O$29*0.99885)</f>
        <v>3692.9991698437243</v>
      </c>
      <c r="N79" s="366"/>
      <c r="O79" t="s">
        <v>25</v>
      </c>
      <c r="P79" t="s">
        <v>25</v>
      </c>
      <c r="Q79" t="s">
        <v>25</v>
      </c>
      <c r="X79" s="454"/>
      <c r="Y79" s="454"/>
      <c r="Z79" s="454"/>
      <c r="AA79" s="454"/>
      <c r="AB79" s="454"/>
      <c r="AE79" s="351"/>
      <c r="AF79" s="351"/>
      <c r="AG79" s="351"/>
      <c r="AH79" s="351"/>
      <c r="AI79" s="351"/>
    </row>
    <row r="80" spans="1:35" ht="23.25">
      <c r="A80" s="527" t="s">
        <v>7013</v>
      </c>
      <c r="B80" s="503" t="s">
        <v>4134</v>
      </c>
      <c r="C80" s="504">
        <v>2672.619370349943</v>
      </c>
      <c r="D80" s="505">
        <v>2705.05</v>
      </c>
      <c r="E80" s="338" t="s">
        <v>5594</v>
      </c>
      <c r="F80" s="507">
        <v>146.16900000000001</v>
      </c>
      <c r="G80" s="507" t="s">
        <v>7014</v>
      </c>
      <c r="H80" s="507">
        <v>3</v>
      </c>
      <c r="I80" s="507">
        <v>129.5</v>
      </c>
      <c r="J80" s="508">
        <f t="shared" ref="J80" si="180">C80*D80*0.9912/(F80*1.003631981)</f>
        <v>48847.679168338589</v>
      </c>
      <c r="K80" s="508">
        <f t="shared" ref="K80" si="181">J80*H80*0.99885/(I80*1.003631981-H80*0.99885)</f>
        <v>1152.793117675388</v>
      </c>
      <c r="L80" s="530">
        <f t="shared" si="177"/>
        <v>50000.472286013974</v>
      </c>
      <c r="M80" s="508">
        <f>L80*1*1.00115/($O$31*0.9912)</f>
        <v>391.49142554591168</v>
      </c>
      <c r="N80" s="36" t="s">
        <v>25</v>
      </c>
      <c r="O80" t="s">
        <v>25</v>
      </c>
      <c r="Q80" t="s">
        <v>25</v>
      </c>
      <c r="S80" s="525" t="e">
        <f>SUM(S73:S77)</f>
        <v>#REF!</v>
      </c>
      <c r="V80" s="518"/>
      <c r="W80" s="454"/>
      <c r="X80" s="454"/>
      <c r="Y80" s="454"/>
      <c r="Z80" s="454"/>
      <c r="AC80" s="351"/>
      <c r="AD80" s="351"/>
      <c r="AE80" s="351"/>
      <c r="AF80" s="351"/>
      <c r="AG80" s="351"/>
    </row>
    <row r="81" spans="1:37" ht="23.25">
      <c r="A81" s="527" t="s">
        <v>7009</v>
      </c>
      <c r="B81" s="235" t="s">
        <v>5139</v>
      </c>
      <c r="C81" s="510">
        <v>926.43799999999999</v>
      </c>
      <c r="D81" s="511">
        <v>345379</v>
      </c>
      <c r="E81" s="491" t="s">
        <v>6907</v>
      </c>
      <c r="F81" s="512">
        <v>396</v>
      </c>
      <c r="G81" s="512" t="s">
        <v>7010</v>
      </c>
      <c r="H81" s="512">
        <v>15.8</v>
      </c>
      <c r="I81" s="512">
        <v>396</v>
      </c>
      <c r="J81" s="506">
        <f t="shared" ref="J81" si="182">C81*D81*0.9912/(F81*1.003631981)</f>
        <v>798001.86022887181</v>
      </c>
      <c r="K81" s="506">
        <f t="shared" ref="K81:K82" si="183">J81*H81*0.99885/(I81*1.003631981-H81*0.99885)</f>
        <v>32998.080368032599</v>
      </c>
      <c r="L81" s="531">
        <f t="shared" si="177"/>
        <v>830999.94059690437</v>
      </c>
      <c r="M81" s="506" t="e">
        <f>L81*#REF!*1.00115/($O$30*0.9912)</f>
        <v>#REF!</v>
      </c>
      <c r="N81" s="36" t="s">
        <v>25</v>
      </c>
      <c r="O81" t="s">
        <v>25</v>
      </c>
      <c r="R81" t="s">
        <v>25</v>
      </c>
      <c r="V81" s="518"/>
      <c r="W81" s="454"/>
      <c r="X81" s="454"/>
      <c r="Y81" s="454"/>
      <c r="Z81" s="454"/>
      <c r="AC81" s="351"/>
      <c r="AD81" s="351"/>
      <c r="AE81" s="351"/>
      <c r="AF81" s="351"/>
      <c r="AG81" s="351"/>
    </row>
    <row r="82" spans="1:37" ht="23.25">
      <c r="A82" s="527" t="s">
        <v>7009</v>
      </c>
      <c r="B82" s="235" t="s">
        <v>5139</v>
      </c>
      <c r="C82" s="510">
        <v>917.25900000000001</v>
      </c>
      <c r="D82" s="511">
        <v>335592</v>
      </c>
      <c r="E82" s="475" t="s">
        <v>6907</v>
      </c>
      <c r="F82" s="509">
        <v>396</v>
      </c>
      <c r="G82" s="509" t="s">
        <v>7011</v>
      </c>
      <c r="H82" s="509">
        <v>28.3</v>
      </c>
      <c r="I82" s="509">
        <v>375.27300000000002</v>
      </c>
      <c r="J82" s="506">
        <f>C82*D82*0.9912/(F82*1.003631981)</f>
        <v>767706.46290384687</v>
      </c>
      <c r="K82" s="506">
        <f t="shared" si="183"/>
        <v>62293.537049278442</v>
      </c>
      <c r="L82" s="531">
        <f t="shared" si="177"/>
        <v>829999.99995312537</v>
      </c>
      <c r="M82" s="506" t="e">
        <f>L82*#REF!*1.00115/($O$30*0.9912)</f>
        <v>#REF!</v>
      </c>
      <c r="N82" t="s">
        <v>25</v>
      </c>
      <c r="O82" s="498"/>
      <c r="P82" t="s">
        <v>25</v>
      </c>
      <c r="T82" t="s">
        <v>25</v>
      </c>
      <c r="V82" s="518"/>
      <c r="W82" s="454"/>
      <c r="X82" s="454"/>
      <c r="Y82" s="454"/>
      <c r="Z82" s="454"/>
      <c r="AC82" s="351"/>
      <c r="AD82" s="351"/>
      <c r="AE82" s="351"/>
      <c r="AF82" s="351"/>
      <c r="AG82" s="351"/>
    </row>
    <row r="83" spans="1:37">
      <c r="O83" s="398" t="s">
        <v>25</v>
      </c>
      <c r="P83" t="s">
        <v>25</v>
      </c>
      <c r="V83" s="518"/>
      <c r="W83" s="354"/>
      <c r="X83" s="454"/>
      <c r="Y83" s="454"/>
      <c r="Z83" s="454"/>
      <c r="AC83" s="351"/>
      <c r="AD83" s="351"/>
      <c r="AE83" s="351"/>
      <c r="AF83" s="351"/>
      <c r="AG83" s="351"/>
    </row>
    <row r="84" spans="1:37" ht="18.75">
      <c r="A84" s="225"/>
      <c r="B84" s="225"/>
      <c r="C84" s="224"/>
      <c r="D84" s="302"/>
      <c r="E84" s="250"/>
      <c r="F84" s="333"/>
      <c r="G84" s="318"/>
      <c r="H84" s="338"/>
      <c r="I84" s="339"/>
      <c r="J84" s="228"/>
      <c r="K84" s="228"/>
      <c r="L84" s="228"/>
      <c r="M84" s="398" t="s">
        <v>25</v>
      </c>
      <c r="O84" s="498" t="s">
        <v>25</v>
      </c>
      <c r="Q84" t="s">
        <v>25</v>
      </c>
      <c r="T84" t="s">
        <v>25</v>
      </c>
      <c r="W84" s="454"/>
      <c r="X84" s="454"/>
      <c r="Y84" s="454"/>
      <c r="Z84" s="454"/>
      <c r="AC84" s="351"/>
      <c r="AD84" s="351"/>
      <c r="AE84" s="351"/>
      <c r="AF84" s="351"/>
      <c r="AG84" s="351"/>
    </row>
    <row r="85" spans="1:37" ht="18.75">
      <c r="A85" s="225"/>
      <c r="B85" s="225"/>
      <c r="C85" s="224"/>
      <c r="D85" s="302"/>
      <c r="E85" s="250"/>
      <c r="F85" s="333"/>
      <c r="G85" s="318"/>
      <c r="H85" s="338"/>
      <c r="I85" s="339"/>
      <c r="J85" s="228"/>
      <c r="K85" s="228"/>
      <c r="L85" s="228"/>
      <c r="M85" s="344" t="s">
        <v>25</v>
      </c>
      <c r="O85" s="398" t="s">
        <v>25</v>
      </c>
      <c r="P85" t="s">
        <v>25</v>
      </c>
      <c r="Q85" t="s">
        <v>25</v>
      </c>
      <c r="T85" s="518"/>
      <c r="U85" s="518"/>
      <c r="V85" s="518"/>
      <c r="AG85" s="351"/>
      <c r="AH85" s="351"/>
      <c r="AI85" s="351"/>
      <c r="AJ85" s="351"/>
      <c r="AK85" s="351"/>
    </row>
    <row r="86" spans="1:37" ht="21">
      <c r="A86" s="250"/>
      <c r="B86" s="250"/>
      <c r="C86" s="333"/>
      <c r="D86" s="318"/>
      <c r="E86" s="170"/>
      <c r="F86" s="170"/>
      <c r="G86" s="170"/>
      <c r="H86" s="170"/>
      <c r="I86" s="170"/>
      <c r="J86" s="355"/>
      <c r="K86" s="369"/>
      <c r="L86" s="355"/>
      <c r="M86" s="344" t="s">
        <v>25</v>
      </c>
      <c r="O86" t="s">
        <v>25</v>
      </c>
      <c r="U86" s="366"/>
      <c r="Y86" s="380"/>
      <c r="AD86" s="351"/>
      <c r="AE86" s="351"/>
      <c r="AF86" s="351"/>
      <c r="AG86" s="351"/>
    </row>
    <row r="87" spans="1:37" ht="21">
      <c r="A87" s="250"/>
      <c r="B87" s="250"/>
      <c r="C87" s="333"/>
      <c r="D87" s="318"/>
      <c r="E87" s="170"/>
      <c r="F87" s="170"/>
      <c r="G87" s="170"/>
      <c r="H87" s="170"/>
      <c r="I87" s="170"/>
      <c r="J87" s="355"/>
      <c r="K87" s="369"/>
      <c r="L87" s="355"/>
      <c r="M87" s="344"/>
      <c r="O87" t="s">
        <v>25</v>
      </c>
      <c r="T87" t="s">
        <v>25</v>
      </c>
      <c r="U87" s="496"/>
      <c r="Y87" s="380"/>
      <c r="Z87" s="380"/>
      <c r="AA87" s="380"/>
      <c r="AB87" s="380"/>
      <c r="AC87" s="380"/>
      <c r="AD87" s="351"/>
      <c r="AE87" s="351"/>
      <c r="AF87" s="351"/>
      <c r="AG87" s="351"/>
      <c r="AK87" s="351"/>
    </row>
    <row r="88" spans="1:37" ht="21">
      <c r="A88" s="225"/>
      <c r="B88" s="225"/>
      <c r="C88" s="224"/>
      <c r="D88" s="225"/>
      <c r="E88" s="314"/>
      <c r="F88" s="314"/>
      <c r="G88" s="314"/>
      <c r="H88" s="314"/>
      <c r="I88" s="314"/>
      <c r="J88" s="314"/>
      <c r="K88" s="315"/>
      <c r="L88" s="314"/>
      <c r="U88" s="496"/>
      <c r="Y88" s="380"/>
      <c r="Z88" s="380"/>
      <c r="AA88" s="380"/>
      <c r="AB88" s="380"/>
      <c r="AC88" s="380"/>
      <c r="AD88" s="351"/>
      <c r="AE88" s="351"/>
      <c r="AF88" s="351"/>
      <c r="AG88" s="351"/>
      <c r="AK88" s="366"/>
    </row>
    <row r="89" spans="1:37" ht="15.75">
      <c r="A89" s="225"/>
      <c r="B89" s="225"/>
      <c r="C89" s="224"/>
      <c r="D89" s="225"/>
      <c r="E89" s="382"/>
      <c r="F89" s="382"/>
      <c r="G89" s="383"/>
      <c r="H89" s="382"/>
      <c r="I89" s="382"/>
      <c r="J89" s="355"/>
      <c r="K89" s="355"/>
      <c r="L89" s="355"/>
      <c r="M89" s="350" t="s">
        <v>25</v>
      </c>
      <c r="O89" t="s">
        <v>25</v>
      </c>
      <c r="T89" s="541"/>
      <c r="U89" s="541"/>
      <c r="V89" s="541"/>
      <c r="W89" s="541"/>
      <c r="X89" s="541"/>
      <c r="Y89" s="380"/>
      <c r="Z89" s="380"/>
      <c r="AA89" s="380"/>
      <c r="AB89" s="380"/>
      <c r="AC89" s="380"/>
      <c r="AD89" s="351"/>
      <c r="AE89" s="351"/>
      <c r="AF89" s="351"/>
      <c r="AG89" s="351"/>
      <c r="AK89" s="351"/>
    </row>
    <row r="90" spans="1:37" ht="15.75">
      <c r="A90" s="225"/>
      <c r="B90" s="225"/>
      <c r="C90" s="224"/>
      <c r="D90" s="225"/>
      <c r="E90" s="382"/>
      <c r="F90" s="382"/>
      <c r="G90" s="383"/>
      <c r="H90" s="382"/>
      <c r="I90" s="382"/>
      <c r="J90" s="355"/>
      <c r="K90" s="355"/>
      <c r="L90" s="355"/>
      <c r="N90" t="s">
        <v>25</v>
      </c>
      <c r="T90" s="541"/>
      <c r="U90" s="541"/>
      <c r="V90" s="541"/>
      <c r="W90" s="541"/>
      <c r="X90" s="541"/>
      <c r="Y90" s="380"/>
      <c r="Z90" s="380"/>
      <c r="AA90" s="380"/>
      <c r="AB90" s="380"/>
      <c r="AC90" s="380"/>
      <c r="AD90" s="351"/>
      <c r="AE90" s="351"/>
      <c r="AF90" s="351"/>
      <c r="AG90" s="351"/>
      <c r="AK90" s="351"/>
    </row>
    <row r="91" spans="1:37" ht="21">
      <c r="A91" s="227" t="s">
        <v>6811</v>
      </c>
      <c r="B91" s="227" t="s">
        <v>5139</v>
      </c>
      <c r="C91" s="226">
        <v>528</v>
      </c>
      <c r="D91" s="299">
        <v>1</v>
      </c>
      <c r="E91" s="331" t="s">
        <v>6810</v>
      </c>
      <c r="F91" s="331">
        <v>13559.5</v>
      </c>
      <c r="G91" s="334">
        <f>C91*D91*0.9912/(F91*1.00115)</f>
        <v>3.8552486057752494E-2</v>
      </c>
      <c r="H91" s="331">
        <f>C91/F91</f>
        <v>3.8939488919207933E-2</v>
      </c>
      <c r="I91" s="331">
        <f>$O$33/$O$36</f>
        <v>4.4483750825226383E-2</v>
      </c>
      <c r="J91" s="331">
        <f>I91/H91</f>
        <v>1.1423814759747295</v>
      </c>
      <c r="K91" s="332">
        <f>(1/J91-1.015)*100</f>
        <v>-13.963566590419664</v>
      </c>
      <c r="L91" s="331"/>
      <c r="M91" t="s">
        <v>25</v>
      </c>
      <c r="N91" t="s">
        <v>25</v>
      </c>
      <c r="O91" t="s">
        <v>25</v>
      </c>
      <c r="P91" t="s">
        <v>25</v>
      </c>
      <c r="T91" s="541"/>
      <c r="U91" s="541"/>
      <c r="V91" s="541"/>
      <c r="W91" s="541"/>
      <c r="X91" s="541"/>
      <c r="Y91" s="380"/>
      <c r="Z91" s="366"/>
      <c r="AA91" s="380"/>
      <c r="AB91" s="380"/>
      <c r="AC91" s="380"/>
      <c r="AD91" s="351"/>
      <c r="AE91" s="351"/>
      <c r="AF91" s="351"/>
      <c r="AG91" s="351"/>
      <c r="AK91" t="s">
        <v>25</v>
      </c>
    </row>
    <row r="92" spans="1:37" ht="21">
      <c r="A92" s="227"/>
      <c r="B92" s="227"/>
      <c r="C92" s="226"/>
      <c r="D92" s="299"/>
      <c r="E92" s="331"/>
      <c r="F92" s="331"/>
      <c r="G92" s="334"/>
      <c r="H92" s="331"/>
      <c r="I92" s="331"/>
      <c r="J92" s="331"/>
      <c r="K92" s="332"/>
      <c r="L92" s="331"/>
      <c r="O92" t="s">
        <v>25</v>
      </c>
      <c r="Y92" s="380"/>
      <c r="Z92" s="380"/>
      <c r="AA92" s="380"/>
      <c r="AB92" s="380"/>
      <c r="AC92" s="380"/>
      <c r="AD92" s="351"/>
      <c r="AE92" s="351"/>
      <c r="AF92" s="351"/>
      <c r="AG92" s="351"/>
    </row>
    <row r="93" spans="1:37" ht="21">
      <c r="A93" s="250"/>
      <c r="B93" s="250"/>
      <c r="C93" s="333"/>
      <c r="D93" s="318"/>
      <c r="E93" s="331"/>
      <c r="F93" s="331"/>
      <c r="G93" s="334"/>
      <c r="H93" s="331"/>
      <c r="I93" s="331"/>
      <c r="J93" s="331"/>
      <c r="K93" s="332"/>
      <c r="L93" s="331"/>
      <c r="M93" t="s">
        <v>25</v>
      </c>
      <c r="N93" t="s">
        <v>25</v>
      </c>
      <c r="O93" t="s">
        <v>25</v>
      </c>
      <c r="W93" t="s">
        <v>25</v>
      </c>
      <c r="Y93" s="380"/>
      <c r="Z93" s="380"/>
      <c r="AA93" s="380"/>
      <c r="AB93" s="380"/>
      <c r="AC93" s="380"/>
      <c r="AD93" s="351"/>
      <c r="AE93" s="351"/>
      <c r="AF93" s="351"/>
      <c r="AG93" s="351"/>
    </row>
    <row r="94" spans="1:37" ht="21">
      <c r="A94" s="331" t="s">
        <v>6824</v>
      </c>
      <c r="B94" s="331" t="s">
        <v>6827</v>
      </c>
      <c r="C94" s="345">
        <v>8724.2999999999993</v>
      </c>
      <c r="D94" s="334">
        <v>71134</v>
      </c>
      <c r="E94" s="302" t="s">
        <v>4134</v>
      </c>
      <c r="F94" s="302">
        <v>1719.9647014073792</v>
      </c>
      <c r="G94" s="302">
        <f t="shared" ref="G94:G114" si="184">C94*D94*0.99885/(F94*1.003631981)</f>
        <v>359098.89592002367</v>
      </c>
      <c r="H94" s="225">
        <f t="shared" ref="H94:H115" si="185">C94/F94</f>
        <v>5.0723715392887128</v>
      </c>
      <c r="I94" s="225">
        <f>$O$37/$O$32</f>
        <v>6.870892018779343</v>
      </c>
      <c r="J94" s="28">
        <f>I94/H94</f>
        <v>1.3545719128734865</v>
      </c>
      <c r="K94" s="230">
        <f t="shared" ref="K94" si="186">(1/J94-1.015)*100</f>
        <v>-27.675938649231579</v>
      </c>
      <c r="L94" s="228"/>
      <c r="M94" t="s">
        <v>25</v>
      </c>
      <c r="N94" t="s">
        <v>25</v>
      </c>
      <c r="O94" t="s">
        <v>25</v>
      </c>
      <c r="V94" s="380"/>
      <c r="W94" s="378"/>
      <c r="Y94" s="380"/>
      <c r="Z94" s="380"/>
      <c r="AA94" s="380"/>
      <c r="AB94" s="380"/>
      <c r="AC94" s="380"/>
    </row>
    <row r="95" spans="1:37" ht="21">
      <c r="A95" s="331" t="s">
        <v>6824</v>
      </c>
      <c r="B95" s="331" t="s">
        <v>6810</v>
      </c>
      <c r="C95" s="345">
        <v>14116.9</v>
      </c>
      <c r="D95" s="334">
        <v>22382</v>
      </c>
      <c r="E95" s="302" t="s">
        <v>4134</v>
      </c>
      <c r="F95" s="302">
        <v>1720.6021300874859</v>
      </c>
      <c r="G95" s="302">
        <f t="shared" si="184"/>
        <v>182761.01261804847</v>
      </c>
      <c r="H95" s="225">
        <f t="shared" si="185"/>
        <v>8.2046277597495543</v>
      </c>
      <c r="I95" s="225">
        <f t="shared" ref="I95:I100" si="187">$O$36/$O$32</f>
        <v>8.7652582159624419</v>
      </c>
      <c r="J95" s="28">
        <f>I95/H95</f>
        <v>1.0683310044805738</v>
      </c>
      <c r="K95" s="230">
        <f t="shared" ref="K95" si="188">(1/J95-1.015)*100</f>
        <v>-7.8960518036071186</v>
      </c>
      <c r="L95" s="228"/>
      <c r="N95" t="s">
        <v>25</v>
      </c>
      <c r="O95" t="s">
        <v>25</v>
      </c>
      <c r="T95" s="528"/>
      <c r="U95" s="528"/>
      <c r="V95" s="528"/>
      <c r="W95" s="528"/>
      <c r="Y95" s="380"/>
      <c r="Z95" s="380"/>
      <c r="AA95" s="380"/>
      <c r="AB95" s="380"/>
      <c r="AC95" s="380"/>
    </row>
    <row r="96" spans="1:37" ht="21">
      <c r="A96" s="331" t="s">
        <v>6826</v>
      </c>
      <c r="B96" s="331" t="s">
        <v>6810</v>
      </c>
      <c r="C96" s="345">
        <v>14385</v>
      </c>
      <c r="D96" s="334">
        <v>15000</v>
      </c>
      <c r="E96" s="302" t="s">
        <v>4134</v>
      </c>
      <c r="F96" s="302">
        <v>1709.5837200456449</v>
      </c>
      <c r="G96" s="302">
        <f t="shared" si="184"/>
        <v>125613.56285967458</v>
      </c>
      <c r="H96" s="225">
        <f t="shared" si="185"/>
        <v>8.4143290739899701</v>
      </c>
      <c r="I96" s="225">
        <f t="shared" si="187"/>
        <v>8.7652582159624419</v>
      </c>
      <c r="J96" s="28">
        <f t="shared" ref="J96:J97" si="189">I96/H96</f>
        <v>1.0417061347240684</v>
      </c>
      <c r="K96" s="230">
        <f t="shared" ref="K96" si="190">(1/J96-1.015)*100</f>
        <v>-5.5036372383575838</v>
      </c>
      <c r="L96" s="228"/>
      <c r="M96" t="s">
        <v>25</v>
      </c>
      <c r="N96" t="s">
        <v>25</v>
      </c>
      <c r="T96" s="528"/>
      <c r="U96" s="528"/>
      <c r="V96" s="528"/>
      <c r="W96" s="528"/>
      <c r="X96" s="329"/>
      <c r="Y96" s="380"/>
      <c r="Z96" s="380"/>
      <c r="AA96" s="380"/>
      <c r="AB96" s="380"/>
      <c r="AC96" s="380"/>
      <c r="AE96" t="s">
        <v>25</v>
      </c>
    </row>
    <row r="97" spans="1:29" ht="21">
      <c r="A97" s="331" t="s">
        <v>6828</v>
      </c>
      <c r="B97" s="331" t="s">
        <v>6810</v>
      </c>
      <c r="C97" s="345">
        <v>14647</v>
      </c>
      <c r="D97" s="334">
        <v>6000</v>
      </c>
      <c r="E97" s="302" t="s">
        <v>4075</v>
      </c>
      <c r="F97" s="302">
        <v>1711.9513122860403</v>
      </c>
      <c r="G97" s="302">
        <f t="shared" si="184"/>
        <v>51089.812037703196</v>
      </c>
      <c r="H97" s="225">
        <f t="shared" si="185"/>
        <v>8.5557339714534564</v>
      </c>
      <c r="I97" s="225">
        <f t="shared" si="187"/>
        <v>8.7652582159624419</v>
      </c>
      <c r="J97" s="28">
        <f t="shared" si="189"/>
        <v>1.024489336064921</v>
      </c>
      <c r="K97" s="230">
        <f>(1/J97-1.015)*100</f>
        <v>-3.8903944338732455</v>
      </c>
      <c r="L97" s="228"/>
      <c r="N97" t="s">
        <v>25</v>
      </c>
      <c r="T97" s="380" t="s">
        <v>25</v>
      </c>
      <c r="U97" s="366"/>
      <c r="V97" s="380" t="s">
        <v>25</v>
      </c>
      <c r="W97" s="378"/>
      <c r="X97" s="337"/>
      <c r="Y97" s="380"/>
      <c r="Z97" s="380"/>
      <c r="AA97" s="380"/>
      <c r="AB97" s="380"/>
      <c r="AC97" s="380"/>
    </row>
    <row r="98" spans="1:29" ht="21">
      <c r="A98" s="331" t="s">
        <v>6829</v>
      </c>
      <c r="B98" s="331" t="s">
        <v>6810</v>
      </c>
      <c r="C98" s="345">
        <v>14870</v>
      </c>
      <c r="D98" s="334">
        <v>3642</v>
      </c>
      <c r="E98" s="302" t="s">
        <v>4134</v>
      </c>
      <c r="F98" s="302">
        <v>1702.8451882845188</v>
      </c>
      <c r="G98" s="302">
        <f t="shared" si="184"/>
        <v>31652.026864165495</v>
      </c>
      <c r="H98" s="225">
        <f t="shared" si="185"/>
        <v>8.7324438547348766</v>
      </c>
      <c r="I98" s="225">
        <f t="shared" si="187"/>
        <v>8.7652582159624419</v>
      </c>
      <c r="J98" s="28">
        <f t="shared" ref="J98" si="191">I98/H98</f>
        <v>1.0037577523283785</v>
      </c>
      <c r="K98" s="230">
        <f>(1/J98-1.015)*100</f>
        <v>-1.8743684489272106</v>
      </c>
      <c r="L98" s="228"/>
      <c r="M98" t="s">
        <v>25</v>
      </c>
      <c r="N98" t="s">
        <v>25</v>
      </c>
      <c r="T98" s="454" t="s">
        <v>25</v>
      </c>
      <c r="U98" s="380"/>
      <c r="V98" s="380"/>
      <c r="W98" s="378"/>
      <c r="X98" s="337"/>
      <c r="Y98" s="380"/>
      <c r="Z98" s="380"/>
      <c r="AA98" s="380"/>
      <c r="AB98" s="380"/>
      <c r="AC98" s="380"/>
    </row>
    <row r="99" spans="1:29" ht="21">
      <c r="A99" s="331" t="s">
        <v>6829</v>
      </c>
      <c r="B99" s="331" t="s">
        <v>6810</v>
      </c>
      <c r="C99" s="345">
        <v>14870</v>
      </c>
      <c r="D99" s="334">
        <v>3721</v>
      </c>
      <c r="E99" s="346" t="s">
        <v>4134</v>
      </c>
      <c r="F99" s="302">
        <v>1702.8451882845188</v>
      </c>
      <c r="G99" s="302">
        <f t="shared" si="184"/>
        <v>32338.602954848928</v>
      </c>
      <c r="H99" s="225">
        <f t="shared" si="185"/>
        <v>8.7324438547348766</v>
      </c>
      <c r="I99" s="225">
        <f t="shared" si="187"/>
        <v>8.7652582159624419</v>
      </c>
      <c r="J99" s="28">
        <f t="shared" ref="J99" si="192">I99/H99</f>
        <v>1.0037577523283785</v>
      </c>
      <c r="K99" s="230">
        <f t="shared" ref="K99" si="193">(1/J99-1.015)*100</f>
        <v>-1.8743684489272106</v>
      </c>
      <c r="L99" s="228"/>
      <c r="N99" t="s">
        <v>25</v>
      </c>
      <c r="O99" t="s">
        <v>25</v>
      </c>
      <c r="T99" s="454" t="s">
        <v>25</v>
      </c>
      <c r="U99" s="380" t="s">
        <v>25</v>
      </c>
      <c r="V99" s="380"/>
      <c r="W99" s="378"/>
      <c r="X99" s="337"/>
      <c r="Y99" s="380"/>
      <c r="Z99" s="380"/>
      <c r="AA99" s="380"/>
      <c r="AB99" s="380"/>
      <c r="AC99" s="380"/>
    </row>
    <row r="100" spans="1:29" ht="21">
      <c r="A100" s="331" t="s">
        <v>6829</v>
      </c>
      <c r="B100" s="331" t="s">
        <v>6810</v>
      </c>
      <c r="C100" s="345">
        <v>15600</v>
      </c>
      <c r="D100" s="334">
        <v>35181</v>
      </c>
      <c r="E100" s="346" t="s">
        <v>4134</v>
      </c>
      <c r="F100" s="302">
        <v>1693.2382274629138</v>
      </c>
      <c r="G100" s="302">
        <f t="shared" si="184"/>
        <v>322582.27142649592</v>
      </c>
      <c r="H100" s="225">
        <f t="shared" si="185"/>
        <v>9.2131158787824372</v>
      </c>
      <c r="I100" s="225">
        <f t="shared" si="187"/>
        <v>8.7652582159624419</v>
      </c>
      <c r="J100" s="28">
        <f>I100/H100</f>
        <v>0.95138912082378124</v>
      </c>
      <c r="K100" s="230">
        <f>(1/J100-1.015)*100</f>
        <v>3.609463426923365</v>
      </c>
      <c r="L100" s="228"/>
      <c r="O100" t="s">
        <v>25</v>
      </c>
      <c r="T100" s="454" t="s">
        <v>25</v>
      </c>
      <c r="U100" s="380"/>
      <c r="V100" s="380"/>
      <c r="X100" s="337"/>
      <c r="Y100" s="380"/>
      <c r="Z100" s="380"/>
      <c r="AA100" s="380"/>
      <c r="AB100" s="380"/>
      <c r="AC100" s="380"/>
    </row>
    <row r="101" spans="1:29" ht="21">
      <c r="A101" s="331" t="s">
        <v>6829</v>
      </c>
      <c r="B101" s="331" t="s">
        <v>6810</v>
      </c>
      <c r="C101" s="345">
        <v>14870</v>
      </c>
      <c r="D101" s="334">
        <v>2279</v>
      </c>
      <c r="E101" s="318" t="s">
        <v>4542</v>
      </c>
      <c r="F101" s="318">
        <v>435</v>
      </c>
      <c r="G101" s="318">
        <f t="shared" si="184"/>
        <v>77533.93376708201</v>
      </c>
      <c r="H101" s="250">
        <f t="shared" si="185"/>
        <v>34.183908045977013</v>
      </c>
      <c r="I101" s="250">
        <f>$O$36/$O$34</f>
        <v>45.09661835748792</v>
      </c>
      <c r="J101" s="28">
        <f>I101/H101</f>
        <v>1.3192353050105745</v>
      </c>
      <c r="K101" s="230">
        <f>(1/J101-1.015)*100</f>
        <v>-25.69851134957425</v>
      </c>
      <c r="L101" s="228"/>
      <c r="N101" t="s">
        <v>25</v>
      </c>
      <c r="T101" s="380" t="s">
        <v>25</v>
      </c>
      <c r="U101" s="380"/>
      <c r="Y101" s="380"/>
      <c r="Z101" s="380"/>
      <c r="AA101" s="380"/>
      <c r="AB101" s="380"/>
      <c r="AC101" s="380"/>
    </row>
    <row r="102" spans="1:29" ht="21">
      <c r="A102" s="331" t="s">
        <v>6829</v>
      </c>
      <c r="B102" s="331" t="s">
        <v>6810</v>
      </c>
      <c r="C102" s="345">
        <v>14870</v>
      </c>
      <c r="D102" s="334">
        <v>2279</v>
      </c>
      <c r="E102" s="349" t="s">
        <v>4542</v>
      </c>
      <c r="F102" s="318">
        <v>435</v>
      </c>
      <c r="G102" s="318">
        <f t="shared" si="184"/>
        <v>77533.93376708201</v>
      </c>
      <c r="H102" s="250">
        <f t="shared" si="185"/>
        <v>34.183908045977013</v>
      </c>
      <c r="I102" s="250">
        <f>$O$36/$O$34</f>
        <v>45.09661835748792</v>
      </c>
      <c r="J102" s="28">
        <f>I102/H102</f>
        <v>1.3192353050105745</v>
      </c>
      <c r="K102" s="230">
        <f t="shared" ref="K102" si="194">(1/J102-1.015)*100</f>
        <v>-25.69851134957425</v>
      </c>
      <c r="L102" s="228"/>
      <c r="T102" s="380" t="s">
        <v>25</v>
      </c>
      <c r="U102" s="380"/>
      <c r="Y102" s="380"/>
      <c r="Z102" s="380"/>
      <c r="AA102" s="380"/>
      <c r="AB102" s="380"/>
      <c r="AC102" s="380"/>
    </row>
    <row r="103" spans="1:29" ht="21">
      <c r="A103" s="331" t="s">
        <v>6829</v>
      </c>
      <c r="B103" s="331" t="s">
        <v>6810</v>
      </c>
      <c r="C103" s="345">
        <v>15600</v>
      </c>
      <c r="D103" s="334">
        <v>40264</v>
      </c>
      <c r="E103" s="349" t="s">
        <v>4542</v>
      </c>
      <c r="F103" s="318">
        <v>438</v>
      </c>
      <c r="G103" s="318">
        <f t="shared" si="184"/>
        <v>1427227.4417065773</v>
      </c>
      <c r="H103" s="250">
        <f t="shared" si="185"/>
        <v>35.61643835616438</v>
      </c>
      <c r="I103" s="250">
        <f>$O$36/$O$34</f>
        <v>45.09661835748792</v>
      </c>
      <c r="J103" s="28">
        <f>I103/H103</f>
        <v>1.2661742846525454</v>
      </c>
      <c r="K103" s="230">
        <f>(1/J103-1.015)*100</f>
        <v>-22.521931015254115</v>
      </c>
      <c r="L103" s="228"/>
      <c r="O103" t="s">
        <v>25</v>
      </c>
      <c r="T103" s="380"/>
      <c r="Y103" s="380"/>
      <c r="Z103" s="380"/>
      <c r="AA103" s="380"/>
      <c r="AB103" s="380"/>
      <c r="AC103" s="380"/>
    </row>
    <row r="104" spans="1:29" ht="21">
      <c r="A104" s="331" t="s">
        <v>6831</v>
      </c>
      <c r="B104" s="331" t="s">
        <v>6810</v>
      </c>
      <c r="C104" s="345">
        <v>16212</v>
      </c>
      <c r="D104" s="334">
        <v>224</v>
      </c>
      <c r="E104" s="349" t="s">
        <v>4542</v>
      </c>
      <c r="F104" s="318">
        <v>432</v>
      </c>
      <c r="G104" s="318">
        <f t="shared" si="184"/>
        <v>8366.1692987308925</v>
      </c>
      <c r="H104" s="250">
        <f t="shared" si="185"/>
        <v>37.527777777777779</v>
      </c>
      <c r="I104" s="250">
        <f>$O$36/$O$34</f>
        <v>45.09661835748792</v>
      </c>
      <c r="J104" s="28">
        <f>I104/H104</f>
        <v>1.2016863514948668</v>
      </c>
      <c r="K104" s="230">
        <f>(1/J104-1.015)*100</f>
        <v>-18.283610069630406</v>
      </c>
      <c r="L104" s="228"/>
      <c r="P104" t="s">
        <v>25</v>
      </c>
      <c r="T104" t="s">
        <v>25</v>
      </c>
      <c r="W104" s="378"/>
      <c r="X104" s="329"/>
      <c r="Y104" s="380"/>
      <c r="Z104" s="380"/>
      <c r="AA104" s="380"/>
      <c r="AB104" s="380"/>
      <c r="AC104" s="380"/>
    </row>
    <row r="105" spans="1:29" ht="21">
      <c r="A105" s="331" t="s">
        <v>6831</v>
      </c>
      <c r="B105" s="331" t="s">
        <v>6810</v>
      </c>
      <c r="C105" s="345">
        <v>16756</v>
      </c>
      <c r="D105" s="334">
        <v>716</v>
      </c>
      <c r="E105" s="349" t="s">
        <v>4542</v>
      </c>
      <c r="F105" s="318">
        <v>435</v>
      </c>
      <c r="G105" s="318">
        <f t="shared" si="184"/>
        <v>27448.581090175932</v>
      </c>
      <c r="H105" s="250">
        <f t="shared" si="185"/>
        <v>38.51954022988506</v>
      </c>
      <c r="I105" s="250">
        <f>$O$36/$O$34</f>
        <v>45.09661835748792</v>
      </c>
      <c r="J105" s="28">
        <f t="shared" ref="J105" si="195">I105/H105</f>
        <v>1.1707465376884247</v>
      </c>
      <c r="K105" s="230">
        <f t="shared" ref="K105" si="196">(1/J105-1.015)*100</f>
        <v>-16.084415344550528</v>
      </c>
      <c r="L105" s="228"/>
      <c r="N105" t="s">
        <v>25</v>
      </c>
      <c r="O105" t="s">
        <v>25</v>
      </c>
      <c r="V105" s="378"/>
      <c r="W105" s="378"/>
      <c r="X105" s="329"/>
      <c r="Y105" s="380"/>
      <c r="Z105" s="380"/>
      <c r="AA105" s="380"/>
      <c r="AB105" s="380"/>
      <c r="AC105" s="380"/>
    </row>
    <row r="106" spans="1:29" ht="21">
      <c r="A106" s="331" t="s">
        <v>6829</v>
      </c>
      <c r="B106" s="331" t="s">
        <v>6810</v>
      </c>
      <c r="C106" s="345">
        <v>15800</v>
      </c>
      <c r="D106" s="334">
        <v>97579</v>
      </c>
      <c r="E106" s="348" t="s">
        <v>5139</v>
      </c>
      <c r="F106" s="299">
        <v>564.09649999999999</v>
      </c>
      <c r="G106" s="299">
        <f t="shared" si="184"/>
        <v>2720105.991936069</v>
      </c>
      <c r="H106" s="227">
        <f t="shared" si="185"/>
        <v>28.009392010055016</v>
      </c>
      <c r="I106" s="227">
        <f t="shared" ref="I106:I114" si="197">$O$36/$O$33</f>
        <v>22.480118727598569</v>
      </c>
      <c r="J106" s="28">
        <f t="shared" ref="J106:J115" si="198">I106/H106</f>
        <v>0.80259217049511433</v>
      </c>
      <c r="K106" s="230">
        <f t="shared" ref="K106:K110" si="199">(1/J106-1.015)*100</f>
        <v>23.096281494137429</v>
      </c>
      <c r="L106" s="228"/>
      <c r="N106" t="s">
        <v>25</v>
      </c>
      <c r="O106" t="s">
        <v>25</v>
      </c>
      <c r="T106" t="s">
        <v>25</v>
      </c>
      <c r="U106" s="35"/>
      <c r="V106" s="378"/>
      <c r="Y106" s="380"/>
      <c r="Z106" s="380"/>
      <c r="AA106" s="380"/>
      <c r="AB106" s="380"/>
      <c r="AC106" s="380"/>
    </row>
    <row r="107" spans="1:29" ht="21">
      <c r="A107" s="331" t="s">
        <v>6831</v>
      </c>
      <c r="B107" s="331" t="s">
        <v>6810</v>
      </c>
      <c r="C107" s="345">
        <v>16212</v>
      </c>
      <c r="D107" s="334">
        <v>12020</v>
      </c>
      <c r="E107" s="348" t="s">
        <v>5139</v>
      </c>
      <c r="F107" s="299">
        <v>568.19000000000005</v>
      </c>
      <c r="G107" s="299">
        <f t="shared" si="184"/>
        <v>341329.05544801702</v>
      </c>
      <c r="H107" s="227">
        <f t="shared" si="185"/>
        <v>28.53270912898854</v>
      </c>
      <c r="I107" s="227">
        <f t="shared" si="197"/>
        <v>22.480118727598569</v>
      </c>
      <c r="J107" s="28">
        <f t="shared" si="198"/>
        <v>0.78787186404109499</v>
      </c>
      <c r="K107" s="230">
        <f t="shared" si="199"/>
        <v>25.424192326258854</v>
      </c>
      <c r="L107" s="228"/>
      <c r="N107" t="s">
        <v>25</v>
      </c>
      <c r="O107" t="s">
        <v>25</v>
      </c>
      <c r="T107" s="25" t="s">
        <v>25</v>
      </c>
      <c r="U107" s="378"/>
      <c r="W107" s="335"/>
      <c r="Y107" s="380"/>
      <c r="Z107" s="380"/>
      <c r="AA107" s="380"/>
      <c r="AB107" s="380"/>
      <c r="AC107" s="380"/>
    </row>
    <row r="108" spans="1:29" ht="21">
      <c r="A108" s="331" t="s">
        <v>6832</v>
      </c>
      <c r="B108" s="331" t="s">
        <v>6810</v>
      </c>
      <c r="C108" s="345">
        <v>16235</v>
      </c>
      <c r="D108" s="334">
        <v>6214</v>
      </c>
      <c r="E108" s="348" t="s">
        <v>5139</v>
      </c>
      <c r="F108" s="370">
        <v>556</v>
      </c>
      <c r="G108" s="370">
        <f t="shared" si="184"/>
        <v>180582.03069431783</v>
      </c>
      <c r="H108" s="367">
        <f t="shared" si="185"/>
        <v>29.199640287769785</v>
      </c>
      <c r="I108" s="367">
        <f t="shared" si="197"/>
        <v>22.480118727598569</v>
      </c>
      <c r="J108" s="355">
        <f t="shared" si="198"/>
        <v>0.76987656375391467</v>
      </c>
      <c r="K108" s="369">
        <f t="shared" si="199"/>
        <v>28.390952274739291</v>
      </c>
      <c r="L108" s="368"/>
      <c r="N108" t="s">
        <v>25</v>
      </c>
      <c r="T108" s="25"/>
      <c r="U108" s="378"/>
      <c r="V108" s="366"/>
      <c r="W108" s="335"/>
      <c r="Y108" s="380"/>
      <c r="Z108" s="380"/>
      <c r="AA108" s="380"/>
      <c r="AB108" s="380"/>
      <c r="AC108" s="380"/>
    </row>
    <row r="109" spans="1:29" ht="21">
      <c r="A109" s="331" t="s">
        <v>6831</v>
      </c>
      <c r="B109" s="331" t="s">
        <v>6810</v>
      </c>
      <c r="C109" s="345">
        <v>16756</v>
      </c>
      <c r="D109" s="334">
        <v>31581</v>
      </c>
      <c r="E109" s="348" t="s">
        <v>5139</v>
      </c>
      <c r="F109" s="299">
        <v>560</v>
      </c>
      <c r="G109" s="299">
        <f t="shared" si="184"/>
        <v>940446.26182873116</v>
      </c>
      <c r="H109" s="227">
        <f t="shared" si="185"/>
        <v>29.921428571428571</v>
      </c>
      <c r="I109" s="227">
        <f t="shared" si="197"/>
        <v>22.480118727598569</v>
      </c>
      <c r="J109" s="28">
        <f t="shared" si="198"/>
        <v>0.75130499447691568</v>
      </c>
      <c r="K109" s="230">
        <f t="shared" si="199"/>
        <v>31.601737290623809</v>
      </c>
      <c r="L109" s="228"/>
      <c r="O109" t="s">
        <v>25</v>
      </c>
      <c r="T109" s="366" t="s">
        <v>25</v>
      </c>
      <c r="V109" s="366"/>
      <c r="W109" s="335"/>
      <c r="Y109" s="380"/>
      <c r="Z109" s="380"/>
      <c r="AA109" s="380"/>
      <c r="AB109" s="380"/>
      <c r="AC109" s="380"/>
    </row>
    <row r="110" spans="1:29" ht="21">
      <c r="A110" s="331" t="s">
        <v>6832</v>
      </c>
      <c r="B110" s="331" t="s">
        <v>6810</v>
      </c>
      <c r="C110" s="345">
        <v>17050</v>
      </c>
      <c r="D110" s="334">
        <v>10193</v>
      </c>
      <c r="E110" s="348" t="s">
        <v>5139</v>
      </c>
      <c r="F110" s="299">
        <v>560</v>
      </c>
      <c r="G110" s="299">
        <f t="shared" si="184"/>
        <v>308861.7748174154</v>
      </c>
      <c r="H110" s="227">
        <f t="shared" si="185"/>
        <v>30.446428571428573</v>
      </c>
      <c r="I110" s="227">
        <f t="shared" si="197"/>
        <v>22.480118727598569</v>
      </c>
      <c r="J110" s="28">
        <f t="shared" si="198"/>
        <v>0.73834994061320813</v>
      </c>
      <c r="K110" s="230">
        <f t="shared" si="199"/>
        <v>33.937134208948216</v>
      </c>
      <c r="L110" s="228"/>
      <c r="O110" t="s">
        <v>25</v>
      </c>
      <c r="T110" s="366" t="s">
        <v>25</v>
      </c>
      <c r="U110" s="366" t="s">
        <v>25</v>
      </c>
      <c r="V110" s="366"/>
      <c r="X110" s="196"/>
      <c r="Y110" s="380"/>
      <c r="Z110" s="380"/>
      <c r="AA110" s="380"/>
      <c r="AB110" s="380"/>
      <c r="AC110" s="380"/>
    </row>
    <row r="111" spans="1:29" ht="21">
      <c r="A111" s="331" t="s">
        <v>6817</v>
      </c>
      <c r="B111" s="331" t="s">
        <v>6810</v>
      </c>
      <c r="C111" s="345">
        <v>14976</v>
      </c>
      <c r="D111" s="334">
        <v>584</v>
      </c>
      <c r="E111" s="348" t="s">
        <v>5139</v>
      </c>
      <c r="F111" s="370">
        <v>543</v>
      </c>
      <c r="G111" s="370">
        <f t="shared" si="184"/>
        <v>16030.040924111199</v>
      </c>
      <c r="H111" s="367">
        <f t="shared" si="185"/>
        <v>27.58011049723757</v>
      </c>
      <c r="I111" s="367">
        <f t="shared" si="197"/>
        <v>22.480118727598569</v>
      </c>
      <c r="J111" s="355">
        <f t="shared" ref="J111" si="200">I111/H111</f>
        <v>0.81508443303191924</v>
      </c>
      <c r="K111" s="369">
        <f t="shared" ref="K111" si="201">(1/J111-1.015)*100</f>
        <v>21.186676309132668</v>
      </c>
      <c r="L111" s="368"/>
      <c r="N111" t="s">
        <v>25</v>
      </c>
      <c r="R111" t="s">
        <v>25</v>
      </c>
      <c r="T111" s="366" t="s">
        <v>25</v>
      </c>
      <c r="U111" s="366"/>
      <c r="V111" s="366"/>
      <c r="Y111" s="380"/>
      <c r="Z111" s="380"/>
      <c r="AA111" s="380"/>
      <c r="AB111" s="380"/>
      <c r="AC111" s="380"/>
    </row>
    <row r="112" spans="1:29" ht="21">
      <c r="A112" s="331" t="s">
        <v>6817</v>
      </c>
      <c r="B112" s="331" t="s">
        <v>6810</v>
      </c>
      <c r="C112" s="345">
        <v>14969</v>
      </c>
      <c r="D112" s="334">
        <v>43109</v>
      </c>
      <c r="E112" s="348" t="s">
        <v>5139</v>
      </c>
      <c r="F112" s="370">
        <v>541</v>
      </c>
      <c r="G112" s="370">
        <f t="shared" si="184"/>
        <v>1187105.3276976866</v>
      </c>
      <c r="H112" s="367">
        <f t="shared" si="185"/>
        <v>27.669131238447321</v>
      </c>
      <c r="I112" s="367">
        <f t="shared" si="197"/>
        <v>22.480118727598569</v>
      </c>
      <c r="J112" s="355">
        <f t="shared" ref="J112" si="202">I112/H112</f>
        <v>0.81246203698515773</v>
      </c>
      <c r="K112" s="369">
        <f t="shared" ref="K112" si="203">(1/J112-1.015)*100</f>
        <v>21.582673956157826</v>
      </c>
      <c r="L112" s="368"/>
      <c r="T112" s="366" t="s">
        <v>25</v>
      </c>
      <c r="U112" s="366"/>
      <c r="V112" s="366"/>
      <c r="Y112" s="380"/>
      <c r="Z112" s="380"/>
      <c r="AA112" s="380"/>
      <c r="AB112" s="380"/>
      <c r="AC112" s="380"/>
    </row>
    <row r="113" spans="1:35" ht="21">
      <c r="A113" s="331" t="s">
        <v>6838</v>
      </c>
      <c r="B113" s="331" t="s">
        <v>6810</v>
      </c>
      <c r="C113" s="345">
        <v>14870</v>
      </c>
      <c r="D113" s="334">
        <v>43136</v>
      </c>
      <c r="E113" s="348" t="s">
        <v>5139</v>
      </c>
      <c r="F113" s="370">
        <v>541.11710000000005</v>
      </c>
      <c r="G113" s="370">
        <f t="shared" si="184"/>
        <v>1179737.4412215259</v>
      </c>
      <c r="H113" s="367">
        <f t="shared" si="185"/>
        <v>27.480188668959084</v>
      </c>
      <c r="I113" s="367">
        <f t="shared" si="197"/>
        <v>22.480118727598569</v>
      </c>
      <c r="J113" s="355">
        <f t="shared" ref="J113:J114" si="204">I113/H113</f>
        <v>0.81804819458869049</v>
      </c>
      <c r="K113" s="369">
        <f t="shared" ref="K113:K114" si="205">(1/J113-1.015)*100</f>
        <v>20.742186538018558</v>
      </c>
      <c r="L113" s="368"/>
      <c r="N113" t="s">
        <v>25</v>
      </c>
      <c r="P113" t="s">
        <v>25</v>
      </c>
      <c r="T113" s="366"/>
      <c r="U113" s="366"/>
      <c r="V113" s="366"/>
      <c r="Y113" s="380"/>
      <c r="Z113" s="380"/>
      <c r="AA113" s="380"/>
      <c r="AB113" s="380"/>
      <c r="AC113" s="380"/>
    </row>
    <row r="114" spans="1:35" ht="21">
      <c r="A114" s="331" t="s">
        <v>6838</v>
      </c>
      <c r="B114" s="331" t="s">
        <v>6810</v>
      </c>
      <c r="C114" s="345">
        <v>14920</v>
      </c>
      <c r="D114" s="334">
        <v>109651</v>
      </c>
      <c r="E114" s="348" t="s">
        <v>5139</v>
      </c>
      <c r="F114" s="370">
        <v>541.15419999999995</v>
      </c>
      <c r="G114" s="370">
        <f t="shared" si="184"/>
        <v>3008750.4525413048</v>
      </c>
      <c r="H114" s="367">
        <f t="shared" si="185"/>
        <v>27.570699811624859</v>
      </c>
      <c r="I114" s="367">
        <f t="shared" si="197"/>
        <v>22.480118727598569</v>
      </c>
      <c r="J114" s="355">
        <f t="shared" si="204"/>
        <v>0.81536264517014878</v>
      </c>
      <c r="K114" s="369">
        <f t="shared" si="205"/>
        <v>21.144814049743644</v>
      </c>
      <c r="L114" s="368"/>
      <c r="P114" t="s">
        <v>25</v>
      </c>
      <c r="T114" s="366"/>
      <c r="U114" s="366"/>
      <c r="V114" s="366"/>
      <c r="Y114" s="380"/>
      <c r="Z114" s="380"/>
      <c r="AA114" s="380"/>
      <c r="AB114" s="380"/>
      <c r="AC114" s="380"/>
    </row>
    <row r="115" spans="1:35" ht="27" customHeight="1">
      <c r="A115" s="331" t="s">
        <v>6829</v>
      </c>
      <c r="B115" s="331" t="s">
        <v>6810</v>
      </c>
      <c r="C115" s="345">
        <v>15990</v>
      </c>
      <c r="D115" s="334">
        <v>1</v>
      </c>
      <c r="E115" s="347" t="s">
        <v>6830</v>
      </c>
      <c r="F115" s="334">
        <v>10912</v>
      </c>
      <c r="G115" s="334">
        <f>C115*D115*0.99885/(F115*1.00115)</f>
        <v>1.4619927827133694</v>
      </c>
      <c r="H115" s="331">
        <f t="shared" si="185"/>
        <v>1.4653592375366569</v>
      </c>
      <c r="I115" s="331">
        <f>$O$36/$O$39</f>
        <v>1.2045161290322581</v>
      </c>
      <c r="J115" s="28">
        <f t="shared" si="198"/>
        <v>0.82199374609130715</v>
      </c>
      <c r="K115" s="230">
        <f>(1/J115-1.0046)*100</f>
        <v>21.195426790670481</v>
      </c>
      <c r="L115" s="228"/>
      <c r="O115" t="s">
        <v>5357</v>
      </c>
      <c r="T115" s="366"/>
      <c r="U115" s="366"/>
      <c r="V115" s="366"/>
      <c r="Y115" s="380"/>
      <c r="Z115" s="380"/>
      <c r="AA115" s="380"/>
      <c r="AB115" s="380"/>
      <c r="AC115" s="380"/>
    </row>
    <row r="116" spans="1:35" ht="21">
      <c r="A116" s="331"/>
      <c r="B116" s="331"/>
      <c r="C116" s="345"/>
      <c r="D116" s="334"/>
      <c r="E116" s="346"/>
      <c r="F116" s="302"/>
      <c r="G116" s="302"/>
      <c r="H116" s="225"/>
      <c r="I116" s="225"/>
      <c r="J116" s="28"/>
      <c r="K116" s="230"/>
      <c r="L116" s="228"/>
      <c r="O116" t="s">
        <v>5358</v>
      </c>
      <c r="T116" s="366" t="s">
        <v>25</v>
      </c>
      <c r="U116" s="366"/>
      <c r="V116" s="366"/>
      <c r="Y116" s="380"/>
      <c r="Z116" s="380"/>
      <c r="AA116" s="380"/>
      <c r="AB116" s="380"/>
      <c r="AC116" s="380"/>
      <c r="AG116" s="380"/>
      <c r="AH116" s="380"/>
      <c r="AI116" s="380"/>
    </row>
    <row r="117" spans="1:35" ht="21">
      <c r="A117" s="331"/>
      <c r="B117" s="331"/>
      <c r="C117" s="345"/>
      <c r="D117" s="334"/>
      <c r="E117" s="340"/>
      <c r="F117" s="340"/>
      <c r="G117" s="330"/>
      <c r="H117" s="340"/>
      <c r="I117" s="340"/>
      <c r="J117" s="340"/>
      <c r="K117" s="341"/>
      <c r="L117" s="340"/>
      <c r="O117" t="s">
        <v>5359</v>
      </c>
      <c r="T117" s="366"/>
      <c r="U117" s="366"/>
      <c r="Y117" s="380"/>
      <c r="Z117" s="380"/>
      <c r="AA117" s="380"/>
      <c r="AB117" s="380"/>
      <c r="AC117" s="380"/>
      <c r="AG117" s="380"/>
      <c r="AH117" s="380"/>
      <c r="AI117" s="380"/>
    </row>
    <row r="118" spans="1:35" ht="21">
      <c r="A118" s="225" t="s">
        <v>6772</v>
      </c>
      <c r="B118" s="225" t="s">
        <v>4134</v>
      </c>
      <c r="C118" s="224">
        <v>1196.5446937999241</v>
      </c>
      <c r="D118" s="225">
        <v>1.0981620718462823</v>
      </c>
      <c r="E118" s="314" t="s">
        <v>4400</v>
      </c>
      <c r="F118" s="314">
        <v>785.87</v>
      </c>
      <c r="G118" s="314">
        <f>C118*D118*0.9912/(F118*1.003631981)</f>
        <v>1.6513208201489087</v>
      </c>
      <c r="H118" s="314">
        <f>C118/F118</f>
        <v>1.5225733184876939</v>
      </c>
      <c r="I118" s="314" t="e">
        <f>$O$32/#REF!</f>
        <v>#REF!</v>
      </c>
      <c r="J118" s="314" t="e">
        <f>I118/H118</f>
        <v>#REF!</v>
      </c>
      <c r="K118" s="315" t="e">
        <f>(1/J118-1.0256)*100</f>
        <v>#REF!</v>
      </c>
      <c r="L118" s="314"/>
      <c r="N118" t="s">
        <v>25</v>
      </c>
      <c r="O118" t="s">
        <v>5360</v>
      </c>
      <c r="T118" s="366"/>
      <c r="U118" s="366"/>
      <c r="Y118" s="380"/>
      <c r="Z118" s="380"/>
      <c r="AA118" s="380"/>
      <c r="AB118" s="380"/>
      <c r="AC118" s="380"/>
      <c r="AG118" s="380"/>
      <c r="AH118" s="380"/>
      <c r="AI118" s="380"/>
    </row>
    <row r="119" spans="1:35" ht="21">
      <c r="A119" s="225"/>
      <c r="B119" s="225"/>
      <c r="C119" s="224"/>
      <c r="D119" s="225"/>
      <c r="E119" s="314"/>
      <c r="F119" s="314"/>
      <c r="G119" s="314"/>
      <c r="H119" s="314"/>
      <c r="I119" s="314"/>
      <c r="J119" s="314"/>
      <c r="K119" s="315"/>
      <c r="L119" s="314"/>
      <c r="O119" t="s">
        <v>5361</v>
      </c>
      <c r="T119" s="366"/>
      <c r="Y119" s="380"/>
      <c r="Z119" s="380"/>
      <c r="AA119" s="380"/>
      <c r="AB119" s="380"/>
      <c r="AC119" s="380"/>
      <c r="AG119" s="380"/>
      <c r="AH119" s="380"/>
      <c r="AI119" s="380"/>
    </row>
    <row r="120" spans="1:35">
      <c r="A120" s="307" t="s">
        <v>5281</v>
      </c>
      <c r="B120" s="28"/>
      <c r="C120" s="1"/>
      <c r="D120" s="28"/>
      <c r="E120" s="28"/>
      <c r="F120" s="1"/>
      <c r="G120" s="28"/>
      <c r="H120" s="28"/>
      <c r="I120" s="28"/>
      <c r="J120" s="28"/>
      <c r="K120" s="28"/>
      <c r="L120" s="28"/>
      <c r="O120" t="s">
        <v>5362</v>
      </c>
      <c r="T120" t="s">
        <v>25</v>
      </c>
      <c r="Y120" s="380"/>
      <c r="Z120" s="380"/>
      <c r="AA120" s="380"/>
      <c r="AB120" s="380"/>
      <c r="AC120" s="380"/>
      <c r="AG120" s="380"/>
      <c r="AH120" s="380"/>
      <c r="AI120" s="380"/>
    </row>
    <row r="121" spans="1:35" ht="15.75">
      <c r="A121" s="229" t="s">
        <v>6693</v>
      </c>
      <c r="B121" s="225" t="s">
        <v>4134</v>
      </c>
      <c r="C121" s="224">
        <v>1321.2985926207684</v>
      </c>
      <c r="D121" s="302">
        <v>19427.703263528358</v>
      </c>
      <c r="E121" s="227" t="s">
        <v>5139</v>
      </c>
      <c r="F121" s="226">
        <v>486.84610260918487</v>
      </c>
      <c r="G121" s="299">
        <f t="shared" ref="G121:G147" si="206">C121*D121*0.9912/(F121*1.003631981)</f>
        <v>52073.592214102442</v>
      </c>
      <c r="H121" s="227">
        <f t="shared" ref="H121:H147" si="207">C121/F121</f>
        <v>2.7139964468020796</v>
      </c>
      <c r="I121" s="227">
        <f t="shared" ref="I121:I147" si="208">$O$32/$O$33</f>
        <v>2.5646841397849465</v>
      </c>
      <c r="J121" s="227">
        <f>I121/H121</f>
        <v>0.94498433953623306</v>
      </c>
      <c r="K121" s="227">
        <f>(1/J121-1.0256)*100</f>
        <v>3.2618594914246568</v>
      </c>
      <c r="L121" s="227"/>
      <c r="T121" s="366" t="s">
        <v>25</v>
      </c>
      <c r="Z121" s="380"/>
      <c r="AA121" s="380"/>
      <c r="AB121" s="380"/>
      <c r="AC121" s="380"/>
      <c r="AG121" s="380"/>
      <c r="AH121" s="380"/>
      <c r="AI121" s="380"/>
    </row>
    <row r="122" spans="1:35" ht="15.75">
      <c r="A122" s="229" t="s">
        <v>6697</v>
      </c>
      <c r="B122" s="225" t="s">
        <v>4134</v>
      </c>
      <c r="C122" s="224">
        <v>1322.2092050209205</v>
      </c>
      <c r="D122" s="302">
        <v>19425.955821644486</v>
      </c>
      <c r="E122" s="227" t="s">
        <v>5139</v>
      </c>
      <c r="F122" s="226">
        <v>486.84610260918487</v>
      </c>
      <c r="G122" s="299">
        <f t="shared" si="206"/>
        <v>52104.793252817217</v>
      </c>
      <c r="H122" s="227">
        <f t="shared" si="207"/>
        <v>2.7158668785366089</v>
      </c>
      <c r="I122" s="227">
        <f t="shared" si="208"/>
        <v>2.5646841397849465</v>
      </c>
      <c r="J122" s="227">
        <f>I122/H122</f>
        <v>0.94433352387539549</v>
      </c>
      <c r="K122" s="227">
        <f>(1/J122-1.0256)*100</f>
        <v>3.3347897874214993</v>
      </c>
      <c r="L122" s="227"/>
      <c r="O122" t="s">
        <v>25</v>
      </c>
      <c r="T122" s="366" t="s">
        <v>25</v>
      </c>
      <c r="U122" s="196"/>
    </row>
    <row r="123" spans="1:35" ht="15.75">
      <c r="A123" s="229" t="s">
        <v>6697</v>
      </c>
      <c r="B123" s="225" t="s">
        <v>4134</v>
      </c>
      <c r="C123" s="224">
        <v>1323.1198174210726</v>
      </c>
      <c r="D123" s="302">
        <v>19424.208379760723</v>
      </c>
      <c r="E123" s="227" t="s">
        <v>5139</v>
      </c>
      <c r="F123" s="226">
        <v>486.84610260918487</v>
      </c>
      <c r="G123" s="299">
        <f t="shared" si="206"/>
        <v>52135.987835563828</v>
      </c>
      <c r="H123" s="227">
        <f t="shared" si="207"/>
        <v>2.7177373102711382</v>
      </c>
      <c r="I123" s="227">
        <f t="shared" si="208"/>
        <v>2.5646841397849465</v>
      </c>
      <c r="J123" s="227">
        <f t="shared" ref="J123:J139" si="209">I123/H123</f>
        <v>0.94368360403790374</v>
      </c>
      <c r="K123" s="227">
        <f t="shared" ref="K123:K139" si="210">(1/J123-1.0256)*100</f>
        <v>3.4077200834183641</v>
      </c>
      <c r="L123" s="227"/>
      <c r="T123" s="366"/>
      <c r="U123" t="s">
        <v>25</v>
      </c>
      <c r="AI123" s="366"/>
    </row>
    <row r="124" spans="1:35" ht="15.75">
      <c r="A124" s="229" t="s">
        <v>6697</v>
      </c>
      <c r="B124" s="225" t="s">
        <v>4134</v>
      </c>
      <c r="C124" s="224">
        <v>1324.0304298212247</v>
      </c>
      <c r="D124" s="302">
        <v>19422.460937876847</v>
      </c>
      <c r="E124" s="227" t="s">
        <v>5139</v>
      </c>
      <c r="F124" s="226">
        <v>486.84610260918487</v>
      </c>
      <c r="G124" s="299">
        <f t="shared" si="206"/>
        <v>52167.175962341658</v>
      </c>
      <c r="H124" s="227">
        <f t="shared" si="207"/>
        <v>2.7196077420056675</v>
      </c>
      <c r="I124" s="227">
        <f t="shared" si="208"/>
        <v>2.5646841397849465</v>
      </c>
      <c r="J124" s="227">
        <f t="shared" si="209"/>
        <v>0.94303457817542935</v>
      </c>
      <c r="K124" s="227">
        <f t="shared" si="210"/>
        <v>3.4806503794152066</v>
      </c>
      <c r="L124" s="227"/>
      <c r="O124" t="s">
        <v>25</v>
      </c>
      <c r="T124" s="366"/>
      <c r="U124" t="s">
        <v>25</v>
      </c>
      <c r="Y124" t="s">
        <v>25</v>
      </c>
      <c r="AH124" t="s">
        <v>25</v>
      </c>
    </row>
    <row r="125" spans="1:35" ht="15.75">
      <c r="A125" s="229" t="s">
        <v>6697</v>
      </c>
      <c r="B125" s="225" t="s">
        <v>4134</v>
      </c>
      <c r="C125" s="224">
        <v>1324.9410422213771</v>
      </c>
      <c r="D125" s="302">
        <v>19420.713495993088</v>
      </c>
      <c r="E125" s="227" t="s">
        <v>5139</v>
      </c>
      <c r="F125" s="226">
        <v>486.84610260918487</v>
      </c>
      <c r="G125" s="299">
        <f t="shared" si="206"/>
        <v>52198.357633151354</v>
      </c>
      <c r="H125" s="227">
        <f t="shared" si="207"/>
        <v>2.7214781737401972</v>
      </c>
      <c r="I125" s="227">
        <f t="shared" si="208"/>
        <v>2.5646841397849465</v>
      </c>
      <c r="J125" s="227">
        <f t="shared" si="209"/>
        <v>0.94238644444472441</v>
      </c>
      <c r="K125" s="227">
        <f t="shared" si="210"/>
        <v>3.5535806754120713</v>
      </c>
      <c r="L125" s="227"/>
      <c r="T125" s="366"/>
      <c r="U125" t="s">
        <v>25</v>
      </c>
      <c r="V125" t="s">
        <v>25</v>
      </c>
      <c r="X125" s="202" t="s">
        <v>5472</v>
      </c>
    </row>
    <row r="126" spans="1:35" ht="15.75">
      <c r="A126" s="229" t="s">
        <v>6697</v>
      </c>
      <c r="B126" s="225" t="s">
        <v>4134</v>
      </c>
      <c r="C126" s="224">
        <v>1325.8516546215292</v>
      </c>
      <c r="D126" s="302">
        <v>19418.966054109322</v>
      </c>
      <c r="E126" s="227" t="s">
        <v>5139</v>
      </c>
      <c r="F126" s="226">
        <v>486.84610260918487</v>
      </c>
      <c r="G126" s="299">
        <f t="shared" si="206"/>
        <v>52229.532847992545</v>
      </c>
      <c r="H126" s="227">
        <f t="shared" si="207"/>
        <v>2.7233486054747265</v>
      </c>
      <c r="I126" s="227">
        <f t="shared" si="208"/>
        <v>2.5646841397849465</v>
      </c>
      <c r="J126" s="227">
        <f t="shared" si="209"/>
        <v>0.94173920100760589</v>
      </c>
      <c r="K126" s="227">
        <f t="shared" si="210"/>
        <v>3.6265109714088917</v>
      </c>
      <c r="L126" s="227"/>
      <c r="O126" t="s">
        <v>25</v>
      </c>
      <c r="T126" s="366"/>
    </row>
    <row r="127" spans="1:35" ht="15.75">
      <c r="A127" s="229" t="s">
        <v>6697</v>
      </c>
      <c r="B127" s="225" t="s">
        <v>4134</v>
      </c>
      <c r="C127" s="224">
        <v>1326.7622670216813</v>
      </c>
      <c r="D127" s="302">
        <v>19417.21861222545</v>
      </c>
      <c r="E127" s="227" t="s">
        <v>5139</v>
      </c>
      <c r="F127" s="226">
        <v>486.84610260918487</v>
      </c>
      <c r="G127" s="299">
        <f t="shared" si="206"/>
        <v>52260.701606864997</v>
      </c>
      <c r="H127" s="227">
        <f t="shared" si="207"/>
        <v>2.7252190372092557</v>
      </c>
      <c r="I127" s="227">
        <f t="shared" si="208"/>
        <v>2.5646841397849465</v>
      </c>
      <c r="J127" s="227">
        <f t="shared" si="209"/>
        <v>0.94109284603093624</v>
      </c>
      <c r="K127" s="227">
        <f t="shared" si="210"/>
        <v>3.6994412674057564</v>
      </c>
      <c r="L127" s="227"/>
      <c r="O127" t="s">
        <v>25</v>
      </c>
      <c r="T127" s="366" t="s">
        <v>25</v>
      </c>
    </row>
    <row r="128" spans="1:35" ht="15.75">
      <c r="A128" s="229" t="s">
        <v>6697</v>
      </c>
      <c r="B128" s="225" t="s">
        <v>4134</v>
      </c>
      <c r="C128" s="224">
        <v>1327.6728794218334</v>
      </c>
      <c r="D128" s="302">
        <v>19415.471170341687</v>
      </c>
      <c r="E128" s="227" t="s">
        <v>5139</v>
      </c>
      <c r="F128" s="226">
        <v>486.84610260918487</v>
      </c>
      <c r="G128" s="299">
        <f t="shared" si="206"/>
        <v>52291.863909769265</v>
      </c>
      <c r="H128" s="227">
        <f t="shared" si="207"/>
        <v>2.727089468943785</v>
      </c>
      <c r="I128" s="227">
        <f t="shared" si="208"/>
        <v>2.5646841397849465</v>
      </c>
      <c r="J128" s="227">
        <f t="shared" si="209"/>
        <v>0.9404473776866078</v>
      </c>
      <c r="K128" s="227">
        <f t="shared" si="210"/>
        <v>3.7723715634025989</v>
      </c>
      <c r="L128" s="227"/>
      <c r="T128" s="36" t="s">
        <v>25</v>
      </c>
      <c r="U128" t="s">
        <v>25</v>
      </c>
    </row>
    <row r="129" spans="1:23" ht="15.75">
      <c r="A129" s="229" t="s">
        <v>6697</v>
      </c>
      <c r="B129" s="225" t="s">
        <v>4134</v>
      </c>
      <c r="C129" s="224">
        <v>1339.5108406238114</v>
      </c>
      <c r="D129" s="302">
        <v>19415.316517360377</v>
      </c>
      <c r="E129" s="227" t="s">
        <v>5139</v>
      </c>
      <c r="F129" s="226">
        <v>491.15716618608906</v>
      </c>
      <c r="G129" s="299">
        <f t="shared" si="206"/>
        <v>52294.621540621032</v>
      </c>
      <c r="H129" s="227">
        <f t="shared" si="207"/>
        <v>2.7272550068348167</v>
      </c>
      <c r="I129" s="227">
        <f t="shared" si="208"/>
        <v>2.5646841397849465</v>
      </c>
      <c r="J129" s="227">
        <f t="shared" si="209"/>
        <v>0.94039029476801805</v>
      </c>
      <c r="K129" s="227">
        <f t="shared" si="210"/>
        <v>3.7788260771754123</v>
      </c>
      <c r="L129" s="227"/>
      <c r="T129" s="36" t="s">
        <v>25</v>
      </c>
      <c r="U129" t="s">
        <v>25</v>
      </c>
    </row>
    <row r="130" spans="1:23" ht="15.75">
      <c r="A130" s="229" t="s">
        <v>6697</v>
      </c>
      <c r="B130" s="225" t="s">
        <v>4134</v>
      </c>
      <c r="C130" s="224">
        <v>1328.5834918219855</v>
      </c>
      <c r="D130" s="302">
        <v>19413.723728457924</v>
      </c>
      <c r="E130" s="227" t="s">
        <v>5139</v>
      </c>
      <c r="F130" s="226">
        <v>486.84610260918487</v>
      </c>
      <c r="G130" s="299">
        <f t="shared" si="206"/>
        <v>52323.019756705064</v>
      </c>
      <c r="H130" s="227">
        <f t="shared" si="207"/>
        <v>2.7289599006783143</v>
      </c>
      <c r="I130" s="227">
        <f t="shared" si="208"/>
        <v>2.5646841397849465</v>
      </c>
      <c r="J130" s="227">
        <f t="shared" si="209"/>
        <v>0.93980279415152446</v>
      </c>
      <c r="K130" s="227">
        <f t="shared" si="210"/>
        <v>3.8453018593994415</v>
      </c>
      <c r="L130" s="227"/>
      <c r="T130" s="366" t="s">
        <v>25</v>
      </c>
    </row>
    <row r="131" spans="1:23" ht="15.75">
      <c r="A131" s="229" t="s">
        <v>6697</v>
      </c>
      <c r="B131" s="225" t="s">
        <v>4134</v>
      </c>
      <c r="C131" s="224">
        <v>1340.4214530239635</v>
      </c>
      <c r="D131" s="302">
        <v>19413.584413404144</v>
      </c>
      <c r="E131" s="227" t="s">
        <v>5139</v>
      </c>
      <c r="F131" s="226">
        <v>491.15716618608906</v>
      </c>
      <c r="G131" s="299">
        <f t="shared" si="206"/>
        <v>52325.503383182368</v>
      </c>
      <c r="H131" s="227">
        <f t="shared" si="207"/>
        <v>2.7291090211154656</v>
      </c>
      <c r="I131" s="227">
        <f t="shared" si="208"/>
        <v>2.5646841397849465</v>
      </c>
      <c r="J131" s="227">
        <f t="shared" si="209"/>
        <v>0.93975144266559418</v>
      </c>
      <c r="K131" s="227">
        <f t="shared" si="210"/>
        <v>3.8511162376629438</v>
      </c>
      <c r="L131" s="227"/>
      <c r="M131" t="s">
        <v>25</v>
      </c>
      <c r="N131" t="s">
        <v>25</v>
      </c>
    </row>
    <row r="132" spans="1:23" ht="15.75">
      <c r="A132" s="229" t="s">
        <v>6697</v>
      </c>
      <c r="B132" s="225" t="s">
        <v>4134</v>
      </c>
      <c r="C132" s="224">
        <v>1329.4941042221378</v>
      </c>
      <c r="D132" s="302">
        <v>19411.976286574052</v>
      </c>
      <c r="E132" s="227" t="s">
        <v>5139</v>
      </c>
      <c r="F132" s="226">
        <v>486.84610260918487</v>
      </c>
      <c r="G132" s="299">
        <f t="shared" si="206"/>
        <v>52354.169147672117</v>
      </c>
      <c r="H132" s="227">
        <f t="shared" si="207"/>
        <v>2.730830332412844</v>
      </c>
      <c r="I132" s="227">
        <f t="shared" si="208"/>
        <v>2.5646841397849465</v>
      </c>
      <c r="J132" s="227">
        <f t="shared" si="209"/>
        <v>0.93915909360758498</v>
      </c>
      <c r="K132" s="227">
        <f t="shared" si="210"/>
        <v>3.918232155396284</v>
      </c>
      <c r="L132" s="227"/>
      <c r="O132" t="s">
        <v>25</v>
      </c>
    </row>
    <row r="133" spans="1:23" ht="15.75">
      <c r="A133" s="229" t="s">
        <v>6697</v>
      </c>
      <c r="B133" s="225" t="s">
        <v>4134</v>
      </c>
      <c r="C133" s="224">
        <v>1341.3320654241156</v>
      </c>
      <c r="D133" s="302">
        <v>19411.852309447906</v>
      </c>
      <c r="E133" s="227" t="s">
        <v>5139</v>
      </c>
      <c r="F133" s="226">
        <v>491.15716618608906</v>
      </c>
      <c r="G133" s="299">
        <f t="shared" si="206"/>
        <v>52356.378882610574</v>
      </c>
      <c r="H133" s="227">
        <f t="shared" si="207"/>
        <v>2.7309630353961145</v>
      </c>
      <c r="I133" s="227">
        <f t="shared" si="208"/>
        <v>2.5646841397849465</v>
      </c>
      <c r="J133" s="227">
        <f t="shared" si="209"/>
        <v>0.93911345797946699</v>
      </c>
      <c r="K133" s="227">
        <f t="shared" si="210"/>
        <v>3.9234063981504752</v>
      </c>
      <c r="L133" s="227"/>
      <c r="T133" t="s">
        <v>25</v>
      </c>
    </row>
    <row r="134" spans="1:23" ht="15.75">
      <c r="A134" s="229" t="s">
        <v>6697</v>
      </c>
      <c r="B134" s="225" t="s">
        <v>4134</v>
      </c>
      <c r="C134" s="224">
        <v>1330.4047166222899</v>
      </c>
      <c r="D134" s="302">
        <v>19410.228844690289</v>
      </c>
      <c r="E134" s="227" t="s">
        <v>5139</v>
      </c>
      <c r="F134" s="226">
        <v>486.84610260918487</v>
      </c>
      <c r="G134" s="299">
        <f t="shared" si="206"/>
        <v>52385.312082670993</v>
      </c>
      <c r="H134" s="227">
        <f t="shared" si="207"/>
        <v>2.7327007641473733</v>
      </c>
      <c r="I134" s="227">
        <f t="shared" si="208"/>
        <v>2.5646841397849465</v>
      </c>
      <c r="J134" s="227">
        <f t="shared" si="209"/>
        <v>0.93851627424166606</v>
      </c>
      <c r="K134" s="227">
        <f t="shared" si="210"/>
        <v>3.9911624513931487</v>
      </c>
      <c r="L134" s="227"/>
      <c r="M134" t="s">
        <v>25</v>
      </c>
      <c r="U134" s="366"/>
      <c r="W134" t="s">
        <v>25</v>
      </c>
    </row>
    <row r="135" spans="1:23" ht="15.75">
      <c r="A135" s="229" t="s">
        <v>6697</v>
      </c>
      <c r="B135" s="225" t="s">
        <v>4134</v>
      </c>
      <c r="C135" s="224">
        <v>1331.315329022442</v>
      </c>
      <c r="D135" s="302">
        <v>19408.481402806523</v>
      </c>
      <c r="E135" s="227" t="s">
        <v>5139</v>
      </c>
      <c r="F135" s="226">
        <v>486.84610260918487</v>
      </c>
      <c r="G135" s="299">
        <f t="shared" si="206"/>
        <v>52416.448561701378</v>
      </c>
      <c r="H135" s="227">
        <f t="shared" si="207"/>
        <v>2.7345711958819026</v>
      </c>
      <c r="I135" s="227">
        <f t="shared" si="208"/>
        <v>2.5646841397849465</v>
      </c>
      <c r="J135" s="227">
        <f t="shared" si="209"/>
        <v>0.93787433424560473</v>
      </c>
      <c r="K135" s="227">
        <f t="shared" si="210"/>
        <v>4.0640927473899913</v>
      </c>
      <c r="L135" s="227"/>
      <c r="M135" t="s">
        <v>25</v>
      </c>
      <c r="N135" t="s">
        <v>25</v>
      </c>
      <c r="T135" s="498"/>
      <c r="U135" s="366" t="s">
        <v>25</v>
      </c>
    </row>
    <row r="136" spans="1:23" ht="15.75">
      <c r="A136" s="229" t="s">
        <v>6697</v>
      </c>
      <c r="B136" s="225" t="s">
        <v>4134</v>
      </c>
      <c r="C136" s="224">
        <v>1342.2426778242677</v>
      </c>
      <c r="D136" s="302">
        <v>19410.120205491785</v>
      </c>
      <c r="E136" s="227" t="s">
        <v>5139</v>
      </c>
      <c r="F136" s="226">
        <v>491.15716618608906</v>
      </c>
      <c r="G136" s="299">
        <f t="shared" si="206"/>
        <v>52387.248038905978</v>
      </c>
      <c r="H136" s="227">
        <f t="shared" si="207"/>
        <v>2.7328170496767634</v>
      </c>
      <c r="I136" s="227">
        <f t="shared" si="208"/>
        <v>2.5646841397849465</v>
      </c>
      <c r="J136" s="227">
        <f t="shared" si="209"/>
        <v>0.93847633894420279</v>
      </c>
      <c r="K136" s="227">
        <f t="shared" si="210"/>
        <v>3.9956965586380067</v>
      </c>
      <c r="L136" s="227"/>
      <c r="N136" t="s">
        <v>25</v>
      </c>
      <c r="T136" s="498"/>
      <c r="U136" s="366"/>
    </row>
    <row r="137" spans="1:23" ht="15.75">
      <c r="A137" s="229" t="s">
        <v>6697</v>
      </c>
      <c r="B137" s="225" t="s">
        <v>4134</v>
      </c>
      <c r="C137" s="224">
        <v>1332.2259414225941</v>
      </c>
      <c r="D137" s="302">
        <v>19406.733960922651</v>
      </c>
      <c r="E137" s="227" t="s">
        <v>5139</v>
      </c>
      <c r="F137" s="226">
        <v>486.84610260918487</v>
      </c>
      <c r="G137" s="299">
        <f t="shared" si="206"/>
        <v>52447.578584763025</v>
      </c>
      <c r="H137" s="227">
        <f t="shared" si="207"/>
        <v>2.7364416276164318</v>
      </c>
      <c r="I137" s="227">
        <f t="shared" si="208"/>
        <v>2.5646841397849465</v>
      </c>
      <c r="J137" s="227">
        <f t="shared" si="209"/>
        <v>0.93723327181618188</v>
      </c>
      <c r="K137" s="227">
        <f t="shared" si="210"/>
        <v>4.1370230433868338</v>
      </c>
      <c r="L137" s="227"/>
      <c r="T137" s="498"/>
      <c r="U137" s="366"/>
    </row>
    <row r="138" spans="1:23" ht="15.75">
      <c r="A138" s="229" t="s">
        <v>6697</v>
      </c>
      <c r="B138" s="225" t="s">
        <v>4134</v>
      </c>
      <c r="C138" s="224">
        <v>1343.1532902244201</v>
      </c>
      <c r="D138" s="302">
        <v>19408.388101535551</v>
      </c>
      <c r="E138" s="227" t="s">
        <v>5139</v>
      </c>
      <c r="F138" s="226">
        <v>491.15716618608906</v>
      </c>
      <c r="G138" s="299">
        <f t="shared" si="206"/>
        <v>52418.110852067955</v>
      </c>
      <c r="H138" s="227">
        <f t="shared" si="207"/>
        <v>2.7346710639574128</v>
      </c>
      <c r="I138" s="227">
        <f t="shared" si="208"/>
        <v>2.5646841397849465</v>
      </c>
      <c r="J138" s="227">
        <f t="shared" si="209"/>
        <v>0.93784008379915573</v>
      </c>
      <c r="K138" s="227">
        <f t="shared" si="210"/>
        <v>4.0679867191255825</v>
      </c>
      <c r="L138" s="227"/>
      <c r="O138" t="s">
        <v>25</v>
      </c>
    </row>
    <row r="139" spans="1:23" ht="15.75">
      <c r="A139" s="229" t="s">
        <v>6697</v>
      </c>
      <c r="B139" s="225" t="s">
        <v>4134</v>
      </c>
      <c r="C139" s="224">
        <v>1333.1365538227462</v>
      </c>
      <c r="D139" s="302">
        <v>19404.986519038888</v>
      </c>
      <c r="E139" s="227" t="s">
        <v>5139</v>
      </c>
      <c r="F139" s="226">
        <v>486.84610260918487</v>
      </c>
      <c r="G139" s="299">
        <f t="shared" si="206"/>
        <v>52478.702151856487</v>
      </c>
      <c r="H139" s="227">
        <f t="shared" si="207"/>
        <v>2.7383120593509611</v>
      </c>
      <c r="I139" s="227">
        <f t="shared" si="208"/>
        <v>2.5646841397849465</v>
      </c>
      <c r="J139" s="227">
        <f t="shared" si="209"/>
        <v>0.93659308515510531</v>
      </c>
      <c r="K139" s="227">
        <f t="shared" si="210"/>
        <v>4.2099533393836763</v>
      </c>
      <c r="L139" s="227"/>
    </row>
    <row r="140" spans="1:23" ht="15.75">
      <c r="A140" s="229" t="s">
        <v>6697</v>
      </c>
      <c r="B140" s="225" t="s">
        <v>4134</v>
      </c>
      <c r="C140" s="224">
        <v>1334.0471662228986</v>
      </c>
      <c r="D140" s="302">
        <v>15590.134724310776</v>
      </c>
      <c r="E140" s="227" t="s">
        <v>5139</v>
      </c>
      <c r="F140" s="226">
        <v>486.84610260918487</v>
      </c>
      <c r="G140" s="299">
        <f t="shared" si="206"/>
        <v>42190.644222022223</v>
      </c>
      <c r="H140" s="227">
        <f t="shared" si="207"/>
        <v>2.7401824910854908</v>
      </c>
      <c r="I140" s="227">
        <f t="shared" si="208"/>
        <v>2.5646841397849465</v>
      </c>
      <c r="J140" s="227">
        <f>I140/H140</f>
        <v>0.93595377246899247</v>
      </c>
      <c r="K140" s="227">
        <f>(1/J140-1.0256)*100</f>
        <v>4.2828836353805411</v>
      </c>
      <c r="L140" s="227"/>
      <c r="T140" s="366"/>
    </row>
    <row r="141" spans="1:23" ht="15.75">
      <c r="A141" s="229" t="s">
        <v>6708</v>
      </c>
      <c r="B141" s="225" t="s">
        <v>4134</v>
      </c>
      <c r="C141" s="224">
        <v>1331.315329022442</v>
      </c>
      <c r="D141" s="302">
        <v>31119.520462564746</v>
      </c>
      <c r="E141" s="227" t="s">
        <v>5139</v>
      </c>
      <c r="F141" s="226">
        <v>480</v>
      </c>
      <c r="G141" s="299">
        <f t="shared" si="206"/>
        <v>85243.130965768403</v>
      </c>
      <c r="H141" s="227">
        <f t="shared" si="207"/>
        <v>2.7735736021300874</v>
      </c>
      <c r="I141" s="227">
        <f t="shared" si="208"/>
        <v>2.5646841397849465</v>
      </c>
      <c r="J141" s="227">
        <f>I141/H141</f>
        <v>0.92468580527853483</v>
      </c>
      <c r="K141" s="227">
        <f>(1/J141-1.0256)*100</f>
        <v>5.584841663139728</v>
      </c>
      <c r="L141" s="227"/>
    </row>
    <row r="142" spans="1:23" ht="15.75">
      <c r="A142" s="229" t="s">
        <v>6716</v>
      </c>
      <c r="B142" s="225" t="s">
        <v>4134</v>
      </c>
      <c r="C142" s="224">
        <v>1282.1422594142259</v>
      </c>
      <c r="D142" s="302">
        <v>10981.620718462824</v>
      </c>
      <c r="E142" s="227" t="s">
        <v>5139</v>
      </c>
      <c r="F142" s="226">
        <v>460.7</v>
      </c>
      <c r="G142" s="299">
        <f t="shared" si="206"/>
        <v>30183.614406606379</v>
      </c>
      <c r="H142" s="227">
        <f t="shared" si="207"/>
        <v>2.7830307345652829</v>
      </c>
      <c r="I142" s="227">
        <f t="shared" si="208"/>
        <v>2.5646841397849465</v>
      </c>
      <c r="J142" s="227">
        <f>I142/H142</f>
        <v>0.9215435920026076</v>
      </c>
      <c r="K142" s="227">
        <f>(1/J142-1.0256)*100</f>
        <v>5.9535861915005706</v>
      </c>
      <c r="L142" s="227"/>
      <c r="N142" t="s">
        <v>25</v>
      </c>
    </row>
    <row r="143" spans="1:23" ht="15.75">
      <c r="A143" s="229" t="s">
        <v>6716</v>
      </c>
      <c r="B143" s="225" t="s">
        <v>4134</v>
      </c>
      <c r="C143" s="224">
        <v>1290.3377710155953</v>
      </c>
      <c r="D143" s="302">
        <v>10981.620718462824</v>
      </c>
      <c r="E143" s="227" t="s">
        <v>5139</v>
      </c>
      <c r="F143" s="226">
        <v>460.7</v>
      </c>
      <c r="G143" s="299">
        <f t="shared" si="206"/>
        <v>30376.549441875883</v>
      </c>
      <c r="H143" s="227">
        <f t="shared" si="207"/>
        <v>2.8008199935220217</v>
      </c>
      <c r="I143" s="227">
        <f t="shared" si="208"/>
        <v>2.5646841397849465</v>
      </c>
      <c r="J143" s="227">
        <f t="shared" ref="J143:J149" si="211">I143/H143</f>
        <v>0.91569045697930229</v>
      </c>
      <c r="K143" s="227">
        <f t="shared" ref="K143:K149" si="212">(1/J143-1.0256)*100</f>
        <v>6.6472099668723805</v>
      </c>
      <c r="L143" s="227"/>
      <c r="M143" t="s">
        <v>25</v>
      </c>
    </row>
    <row r="144" spans="1:23" ht="15.75">
      <c r="A144" s="229" t="s">
        <v>6717</v>
      </c>
      <c r="B144" s="225" t="s">
        <v>4134</v>
      </c>
      <c r="C144" s="224">
        <v>1298.5332826169647</v>
      </c>
      <c r="D144" s="302">
        <v>29113.37468671679</v>
      </c>
      <c r="E144" s="227" t="s">
        <v>5139</v>
      </c>
      <c r="F144" s="226">
        <v>460.6</v>
      </c>
      <c r="G144" s="299">
        <f t="shared" si="206"/>
        <v>81060.355338675217</v>
      </c>
      <c r="H144" s="227">
        <f t="shared" si="207"/>
        <v>2.8192211954341393</v>
      </c>
      <c r="I144" s="227">
        <f t="shared" si="208"/>
        <v>2.5646841397849465</v>
      </c>
      <c r="J144" s="227">
        <f t="shared" si="211"/>
        <v>0.90971369821515691</v>
      </c>
      <c r="K144" s="227">
        <f t="shared" si="212"/>
        <v>7.3646941056272119</v>
      </c>
      <c r="L144" s="227"/>
    </row>
    <row r="145" spans="1:20" ht="15.75">
      <c r="A145" s="229" t="s">
        <v>6717</v>
      </c>
      <c r="B145" s="225" t="s">
        <v>4134</v>
      </c>
      <c r="C145" s="224">
        <v>1303.9969570178775</v>
      </c>
      <c r="D145" s="302">
        <v>5337.0676691729323</v>
      </c>
      <c r="E145" s="227" t="s">
        <v>5139</v>
      </c>
      <c r="F145" s="226">
        <v>460.1</v>
      </c>
      <c r="G145" s="299">
        <f t="shared" si="206"/>
        <v>14938.736108785723</v>
      </c>
      <c r="H145" s="227">
        <f t="shared" si="207"/>
        <v>2.8341598718058627</v>
      </c>
      <c r="I145" s="227">
        <f t="shared" si="208"/>
        <v>2.5646841397849465</v>
      </c>
      <c r="J145" s="227">
        <f t="shared" si="211"/>
        <v>0.90491865518891412</v>
      </c>
      <c r="K145" s="227">
        <f t="shared" si="212"/>
        <v>7.9471703700523477</v>
      </c>
      <c r="L145" s="227"/>
    </row>
    <row r="146" spans="1:20" ht="15.75">
      <c r="A146" s="229" t="s">
        <v>6719</v>
      </c>
      <c r="B146" s="225" t="s">
        <v>4134</v>
      </c>
      <c r="C146" s="224">
        <v>1273.0361354127044</v>
      </c>
      <c r="D146" s="302">
        <v>10981.620718462824</v>
      </c>
      <c r="E146" s="227" t="s">
        <v>5139</v>
      </c>
      <c r="F146" s="226">
        <v>444</v>
      </c>
      <c r="G146" s="299">
        <f t="shared" si="206"/>
        <v>31096.463640296653</v>
      </c>
      <c r="H146" s="227">
        <f t="shared" si="207"/>
        <v>2.8671985031817666</v>
      </c>
      <c r="I146" s="227">
        <f t="shared" si="208"/>
        <v>2.5646841397849465</v>
      </c>
      <c r="J146" s="227">
        <f>I146/H146</f>
        <v>0.89449130813192179</v>
      </c>
      <c r="K146" s="227">
        <f>(1/J146-1.0256)*100</f>
        <v>9.2353848079781855</v>
      </c>
      <c r="L146" s="227"/>
      <c r="O146" t="s">
        <v>25</v>
      </c>
    </row>
    <row r="147" spans="1:20" ht="15.75">
      <c r="A147" s="229" t="s">
        <v>6719</v>
      </c>
      <c r="B147" s="225" t="s">
        <v>4134</v>
      </c>
      <c r="C147" s="224">
        <v>1273.0361354127044</v>
      </c>
      <c r="D147" s="302">
        <v>13177.944862155387</v>
      </c>
      <c r="E147" s="227" t="s">
        <v>5139</v>
      </c>
      <c r="F147" s="226">
        <v>442.97</v>
      </c>
      <c r="G147" s="299">
        <f t="shared" si="206"/>
        <v>37402.523483644611</v>
      </c>
      <c r="H147" s="227">
        <f t="shared" si="207"/>
        <v>2.8738653529871194</v>
      </c>
      <c r="I147" s="227">
        <f t="shared" si="208"/>
        <v>2.5646841397849465</v>
      </c>
      <c r="J147" s="227">
        <f>I147/H147</f>
        <v>0.89241624946666087</v>
      </c>
      <c r="K147" s="227">
        <f>(1/J147-1.0256)*100</f>
        <v>9.4953329903657568</v>
      </c>
      <c r="L147" s="227"/>
      <c r="O147" t="s">
        <v>25</v>
      </c>
    </row>
    <row r="148" spans="1:20" ht="15.75">
      <c r="A148" s="229"/>
      <c r="B148" s="225"/>
      <c r="C148" s="224"/>
      <c r="D148" s="302"/>
      <c r="E148" s="227"/>
      <c r="F148" s="226"/>
      <c r="G148" s="299"/>
      <c r="H148" s="227"/>
      <c r="I148" s="227"/>
      <c r="J148" s="227"/>
      <c r="K148" s="227"/>
      <c r="L148" s="227"/>
    </row>
    <row r="149" spans="1:20" ht="15.75">
      <c r="A149" s="229"/>
      <c r="B149" s="225"/>
      <c r="C149" s="224"/>
      <c r="D149" s="302"/>
      <c r="E149" s="227"/>
      <c r="F149" s="226"/>
      <c r="G149" s="299"/>
      <c r="H149" s="227"/>
      <c r="I149" s="227">
        <f>$O$32/$O$33</f>
        <v>2.5646841397849465</v>
      </c>
      <c r="J149" s="227" t="e">
        <f t="shared" si="211"/>
        <v>#DIV/0!</v>
      </c>
      <c r="K149" s="227" t="e">
        <f t="shared" si="212"/>
        <v>#DIV/0!</v>
      </c>
      <c r="L149" s="227"/>
      <c r="N149" t="s">
        <v>25</v>
      </c>
      <c r="O149" t="s">
        <v>25</v>
      </c>
    </row>
    <row r="152" spans="1:20">
      <c r="N152" t="s">
        <v>25</v>
      </c>
    </row>
    <row r="154" spans="1:20">
      <c r="N154" t="s">
        <v>25</v>
      </c>
    </row>
    <row r="156" spans="1:20">
      <c r="N156" t="s">
        <v>25</v>
      </c>
    </row>
    <row r="157" spans="1:20">
      <c r="K157" t="s">
        <v>25</v>
      </c>
      <c r="N157" t="s">
        <v>25</v>
      </c>
      <c r="P157" t="s">
        <v>25</v>
      </c>
    </row>
    <row r="158" spans="1:20">
      <c r="J158" t="s">
        <v>25</v>
      </c>
      <c r="N158" t="s">
        <v>25</v>
      </c>
    </row>
    <row r="159" spans="1:20">
      <c r="T159" t="s">
        <v>25</v>
      </c>
    </row>
    <row r="165" spans="1:23">
      <c r="O165" t="s">
        <v>25</v>
      </c>
      <c r="T165" s="495">
        <v>427061</v>
      </c>
      <c r="U165" s="495">
        <v>2617511</v>
      </c>
      <c r="V165">
        <v>2437975</v>
      </c>
      <c r="W165">
        <v>179537</v>
      </c>
    </row>
    <row r="166" spans="1:23">
      <c r="T166" s="495">
        <f>U166*T165/U165</f>
        <v>258283.61265072046</v>
      </c>
      <c r="U166" s="495">
        <v>1583053</v>
      </c>
      <c r="V166">
        <f>U166*V165/U165</f>
        <v>1474470.83801176</v>
      </c>
      <c r="W166">
        <f>U166*W165/U165</f>
        <v>108582.76678149585</v>
      </c>
    </row>
    <row r="167" spans="1:23">
      <c r="T167" s="495">
        <f>T165-T166</f>
        <v>168777.38734927954</v>
      </c>
      <c r="U167" s="495">
        <f>U165-U166</f>
        <v>1034458</v>
      </c>
      <c r="V167">
        <f>V165-V166</f>
        <v>963504.16198823997</v>
      </c>
      <c r="W167">
        <f>W165-W166</f>
        <v>70954.233218504145</v>
      </c>
    </row>
    <row r="168" spans="1:23">
      <c r="D168">
        <v>28000</v>
      </c>
    </row>
    <row r="170" spans="1:23">
      <c r="A170" t="s">
        <v>6570</v>
      </c>
      <c r="B170">
        <v>10330</v>
      </c>
      <c r="C170">
        <v>11900</v>
      </c>
      <c r="D170" s="7">
        <f t="shared" ref="D170:D192" si="213">B170*$D$168</f>
        <v>289240000</v>
      </c>
      <c r="E170" s="7">
        <f t="shared" ref="E170:E192" si="214">C170*$D$168</f>
        <v>333200000</v>
      </c>
      <c r="F170" s="7">
        <v>440000000</v>
      </c>
      <c r="G170">
        <f>(F170-E170)*100/E170</f>
        <v>32.052821128451377</v>
      </c>
    </row>
    <row r="171" spans="1:23">
      <c r="A171" t="s">
        <v>6571</v>
      </c>
      <c r="C171">
        <v>18000</v>
      </c>
      <c r="D171" s="7">
        <f t="shared" si="213"/>
        <v>0</v>
      </c>
      <c r="E171" s="7">
        <f t="shared" si="214"/>
        <v>504000000</v>
      </c>
      <c r="F171" s="7">
        <v>700000000</v>
      </c>
      <c r="G171">
        <f t="shared" ref="G171:G188" si="215">(F171-E171)*100/E171</f>
        <v>38.888888888888886</v>
      </c>
    </row>
    <row r="172" spans="1:23">
      <c r="A172" t="s">
        <v>6572</v>
      </c>
      <c r="C172">
        <v>19000</v>
      </c>
      <c r="D172" s="7">
        <f t="shared" si="213"/>
        <v>0</v>
      </c>
      <c r="E172" s="7">
        <f t="shared" si="214"/>
        <v>532000000</v>
      </c>
      <c r="F172" s="7">
        <v>650000000</v>
      </c>
      <c r="G172">
        <f t="shared" si="215"/>
        <v>22.180451127819548</v>
      </c>
    </row>
    <row r="173" spans="1:23">
      <c r="A173" t="s">
        <v>6573</v>
      </c>
      <c r="C173">
        <v>23000</v>
      </c>
      <c r="D173" s="7">
        <f t="shared" si="213"/>
        <v>0</v>
      </c>
      <c r="E173" s="7">
        <f t="shared" si="214"/>
        <v>644000000</v>
      </c>
      <c r="F173" s="7">
        <v>930000000</v>
      </c>
      <c r="G173">
        <f t="shared" si="215"/>
        <v>44.409937888198755</v>
      </c>
    </row>
    <row r="174" spans="1:23">
      <c r="A174" t="s">
        <v>6574</v>
      </c>
      <c r="C174">
        <v>13000</v>
      </c>
      <c r="D174" s="7">
        <f t="shared" si="213"/>
        <v>0</v>
      </c>
      <c r="E174" s="7">
        <f t="shared" si="214"/>
        <v>364000000</v>
      </c>
      <c r="F174" s="7">
        <v>600000000</v>
      </c>
      <c r="G174">
        <f t="shared" si="215"/>
        <v>64.835164835164832</v>
      </c>
      <c r="N174" t="s">
        <v>25</v>
      </c>
    </row>
    <row r="175" spans="1:23">
      <c r="A175" t="s">
        <v>6575</v>
      </c>
      <c r="C175">
        <v>13000</v>
      </c>
      <c r="D175" s="7">
        <f t="shared" si="213"/>
        <v>0</v>
      </c>
      <c r="E175" s="7">
        <f t="shared" si="214"/>
        <v>364000000</v>
      </c>
      <c r="F175" s="7">
        <v>400000000</v>
      </c>
      <c r="G175">
        <f t="shared" si="215"/>
        <v>9.8901098901098905</v>
      </c>
    </row>
    <row r="176" spans="1:23">
      <c r="A176" t="s">
        <v>6576</v>
      </c>
      <c r="C176">
        <v>13600</v>
      </c>
      <c r="D176" s="7">
        <f t="shared" si="213"/>
        <v>0</v>
      </c>
      <c r="E176" s="7">
        <f t="shared" si="214"/>
        <v>380800000</v>
      </c>
      <c r="F176" s="7">
        <v>520000000</v>
      </c>
      <c r="G176">
        <f t="shared" si="215"/>
        <v>36.554621848739494</v>
      </c>
      <c r="O176" t="s">
        <v>25</v>
      </c>
    </row>
    <row r="177" spans="1:20">
      <c r="A177" t="s">
        <v>6577</v>
      </c>
      <c r="C177">
        <v>28000</v>
      </c>
      <c r="D177" s="7">
        <f t="shared" si="213"/>
        <v>0</v>
      </c>
      <c r="E177" s="7">
        <f t="shared" si="214"/>
        <v>784000000</v>
      </c>
      <c r="F177" s="7">
        <v>900000000</v>
      </c>
      <c r="G177">
        <f t="shared" si="215"/>
        <v>14.795918367346939</v>
      </c>
    </row>
    <row r="178" spans="1:20">
      <c r="A178" t="s">
        <v>6578</v>
      </c>
      <c r="C178">
        <v>19000</v>
      </c>
      <c r="D178" s="7">
        <f t="shared" si="213"/>
        <v>0</v>
      </c>
      <c r="E178" s="7">
        <f t="shared" si="214"/>
        <v>532000000</v>
      </c>
      <c r="F178" s="7">
        <v>700000000</v>
      </c>
      <c r="G178">
        <f t="shared" si="215"/>
        <v>31.578947368421051</v>
      </c>
    </row>
    <row r="179" spans="1:20">
      <c r="A179" t="s">
        <v>6579</v>
      </c>
      <c r="C179">
        <v>15000</v>
      </c>
      <c r="D179" s="7">
        <f t="shared" si="213"/>
        <v>0</v>
      </c>
      <c r="E179" s="7">
        <f t="shared" si="214"/>
        <v>420000000</v>
      </c>
      <c r="F179" s="7">
        <v>700000000</v>
      </c>
      <c r="G179">
        <f t="shared" si="215"/>
        <v>66.666666666666671</v>
      </c>
    </row>
    <row r="180" spans="1:20">
      <c r="A180" t="s">
        <v>6580</v>
      </c>
      <c r="C180">
        <v>21000</v>
      </c>
      <c r="D180" s="7">
        <f t="shared" si="213"/>
        <v>0</v>
      </c>
      <c r="E180" s="7">
        <f t="shared" si="214"/>
        <v>588000000</v>
      </c>
      <c r="F180" s="7">
        <v>700000000</v>
      </c>
      <c r="G180">
        <f t="shared" si="215"/>
        <v>19.047619047619047</v>
      </c>
    </row>
    <row r="181" spans="1:20">
      <c r="A181" t="s">
        <v>6581</v>
      </c>
      <c r="C181">
        <v>17000</v>
      </c>
      <c r="D181" s="7">
        <f t="shared" si="213"/>
        <v>0</v>
      </c>
      <c r="E181" s="7">
        <f t="shared" si="214"/>
        <v>476000000</v>
      </c>
      <c r="F181" s="7">
        <v>700000000</v>
      </c>
      <c r="G181">
        <f t="shared" si="215"/>
        <v>47.058823529411768</v>
      </c>
    </row>
    <row r="182" spans="1:20">
      <c r="A182" t="s">
        <v>6582</v>
      </c>
      <c r="C182">
        <v>11000</v>
      </c>
      <c r="D182" s="7">
        <f t="shared" si="213"/>
        <v>0</v>
      </c>
      <c r="E182" s="7">
        <f t="shared" si="214"/>
        <v>308000000</v>
      </c>
      <c r="F182" s="7">
        <v>370000000</v>
      </c>
      <c r="G182">
        <f t="shared" si="215"/>
        <v>20.129870129870131</v>
      </c>
    </row>
    <row r="183" spans="1:20">
      <c r="D183" s="7">
        <f t="shared" si="213"/>
        <v>0</v>
      </c>
      <c r="E183" s="7">
        <f t="shared" si="214"/>
        <v>0</v>
      </c>
      <c r="F183" s="7"/>
      <c r="G183" t="e">
        <f t="shared" si="215"/>
        <v>#DIV/0!</v>
      </c>
    </row>
    <row r="184" spans="1:20">
      <c r="D184" s="7">
        <f t="shared" si="213"/>
        <v>0</v>
      </c>
      <c r="E184" s="7">
        <f t="shared" si="214"/>
        <v>0</v>
      </c>
      <c r="F184" s="7"/>
      <c r="G184" t="e">
        <f t="shared" si="215"/>
        <v>#DIV/0!</v>
      </c>
    </row>
    <row r="185" spans="1:20">
      <c r="D185" s="7">
        <f t="shared" si="213"/>
        <v>0</v>
      </c>
      <c r="E185" s="7">
        <f t="shared" si="214"/>
        <v>0</v>
      </c>
      <c r="F185" s="7"/>
      <c r="G185" t="e">
        <f t="shared" si="215"/>
        <v>#DIV/0!</v>
      </c>
      <c r="O185" t="s">
        <v>25</v>
      </c>
    </row>
    <row r="186" spans="1:20">
      <c r="D186" s="7">
        <f t="shared" si="213"/>
        <v>0</v>
      </c>
      <c r="E186" s="7">
        <f t="shared" si="214"/>
        <v>0</v>
      </c>
      <c r="F186" s="7"/>
      <c r="G186" t="e">
        <f t="shared" si="215"/>
        <v>#DIV/0!</v>
      </c>
    </row>
    <row r="187" spans="1:20">
      <c r="D187" s="7">
        <f t="shared" si="213"/>
        <v>0</v>
      </c>
      <c r="E187" s="7">
        <f t="shared" si="214"/>
        <v>0</v>
      </c>
      <c r="F187" s="7"/>
      <c r="G187" t="e">
        <f t="shared" si="215"/>
        <v>#DIV/0!</v>
      </c>
    </row>
    <row r="188" spans="1:20">
      <c r="D188" s="7">
        <f t="shared" si="213"/>
        <v>0</v>
      </c>
      <c r="E188" s="7">
        <f t="shared" si="214"/>
        <v>0</v>
      </c>
      <c r="F188" s="7"/>
      <c r="G188" t="e">
        <f t="shared" si="215"/>
        <v>#DIV/0!</v>
      </c>
      <c r="T188" t="s">
        <v>25</v>
      </c>
    </row>
    <row r="189" spans="1:20">
      <c r="D189" s="7">
        <f t="shared" si="213"/>
        <v>0</v>
      </c>
      <c r="E189" s="7">
        <f t="shared" si="214"/>
        <v>0</v>
      </c>
    </row>
    <row r="190" spans="1:20">
      <c r="D190" s="7">
        <f t="shared" si="213"/>
        <v>0</v>
      </c>
      <c r="E190" s="7">
        <f t="shared" si="214"/>
        <v>0</v>
      </c>
    </row>
    <row r="191" spans="1:20">
      <c r="D191" s="7">
        <f t="shared" si="213"/>
        <v>0</v>
      </c>
      <c r="E191" s="7">
        <f t="shared" si="214"/>
        <v>0</v>
      </c>
    </row>
    <row r="192" spans="1:20">
      <c r="D192" s="7">
        <f t="shared" si="213"/>
        <v>0</v>
      </c>
      <c r="E192" s="7">
        <f t="shared" si="214"/>
        <v>0</v>
      </c>
      <c r="O192" t="s">
        <v>25</v>
      </c>
    </row>
    <row r="215" spans="14:14">
      <c r="N215" t="s">
        <v>25</v>
      </c>
    </row>
    <row r="217" spans="14:14">
      <c r="N217" t="s">
        <v>25</v>
      </c>
    </row>
  </sheetData>
  <phoneticPr fontId="24" type="noConversion"/>
  <conditionalFormatting sqref="K95:K149 K90:K93 K77 K84:K87 K1:K3 P73:Q77 K7:K7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3:Q77">
    <cfRule type="cellIs" dxfId="10" priority="121" operator="lessThan">
      <formula>1</formula>
    </cfRule>
    <cfRule type="cellIs" dxfId="9" priority="122" operator="greaterThan">
      <formula>1</formula>
    </cfRule>
  </conditionalFormatting>
  <conditionalFormatting sqref="Q73:Q77">
    <cfRule type="cellIs" dxfId="8" priority="82" operator="lessThan">
      <formula>0</formula>
    </cfRule>
    <cfRule type="cellIs" dxfId="7" priority="83" operator="greaterThan">
      <formula>0</formula>
    </cfRule>
  </conditionalFormatting>
  <conditionalFormatting sqref="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90"/>
      <c r="I1" s="590"/>
      <c r="J1" s="590"/>
      <c r="K1" s="590"/>
      <c r="L1" s="590"/>
      <c r="M1" s="590"/>
      <c r="N1" s="590"/>
      <c r="O1" s="590"/>
      <c r="P1" s="590"/>
      <c r="Q1" s="590"/>
      <c r="R1" s="590"/>
      <c r="S1" s="590"/>
      <c r="T1" s="590"/>
      <c r="U1" s="590"/>
      <c r="V1" s="590"/>
      <c r="W1" s="590"/>
      <c r="X1" s="590"/>
      <c r="Y1" s="590"/>
      <c r="Z1" s="590"/>
      <c r="AA1" s="590"/>
      <c r="AB1"/>
      <c r="AD1"/>
    </row>
    <row r="2" spans="1:30">
      <c r="A2" s="355" t="s">
        <v>7066</v>
      </c>
      <c r="B2" s="355">
        <v>0.1</v>
      </c>
      <c r="C2" s="355"/>
      <c r="D2" s="355"/>
      <c r="E2" s="355"/>
      <c r="F2" s="355"/>
      <c r="G2" s="355"/>
      <c r="H2" s="590"/>
      <c r="I2" s="590"/>
      <c r="J2" s="590"/>
      <c r="K2" s="590"/>
      <c r="L2" s="590"/>
      <c r="M2" s="590"/>
      <c r="N2" s="590"/>
      <c r="O2" s="590"/>
      <c r="P2" s="590"/>
      <c r="Q2" s="590"/>
      <c r="R2" s="590"/>
      <c r="S2" s="590"/>
      <c r="T2" s="590"/>
      <c r="U2" s="590"/>
      <c r="V2" s="590"/>
      <c r="W2" s="590"/>
      <c r="X2" s="590"/>
      <c r="Y2" s="590"/>
      <c r="Z2" s="590"/>
      <c r="AA2" s="590"/>
      <c r="AD2"/>
    </row>
    <row r="3" spans="1:30">
      <c r="A3" s="355" t="s">
        <v>4163</v>
      </c>
      <c r="B3" s="593">
        <v>135</v>
      </c>
      <c r="C3" s="355"/>
      <c r="D3" s="355"/>
      <c r="E3" s="355"/>
      <c r="F3" s="355"/>
      <c r="G3" s="355"/>
      <c r="H3" s="590"/>
      <c r="I3" s="590"/>
      <c r="J3" s="590"/>
      <c r="K3" s="590"/>
      <c r="L3" s="590"/>
      <c r="M3" s="590"/>
      <c r="N3" s="590"/>
      <c r="O3" s="590"/>
      <c r="P3" s="590"/>
      <c r="Q3" s="590"/>
      <c r="R3" s="590"/>
      <c r="S3" s="590"/>
      <c r="T3" s="590"/>
      <c r="U3" s="590"/>
      <c r="V3" s="590"/>
      <c r="W3" s="590"/>
      <c r="X3" s="590"/>
      <c r="Y3" s="590"/>
      <c r="Z3" s="590"/>
      <c r="AA3" s="590"/>
      <c r="AB3"/>
      <c r="AD3"/>
    </row>
    <row r="4" spans="1:30">
      <c r="A4" s="355" t="s">
        <v>6878</v>
      </c>
      <c r="B4" s="355">
        <v>130</v>
      </c>
      <c r="C4" s="355">
        <v>140</v>
      </c>
      <c r="D4" s="355">
        <v>150</v>
      </c>
      <c r="E4" s="355">
        <v>160</v>
      </c>
      <c r="F4" s="355">
        <v>170</v>
      </c>
      <c r="G4" s="355">
        <v>180</v>
      </c>
      <c r="H4" s="590"/>
      <c r="I4" s="590"/>
      <c r="J4" s="590"/>
      <c r="K4" s="590"/>
      <c r="L4" s="590"/>
      <c r="M4" s="590"/>
      <c r="N4" s="590"/>
      <c r="O4" s="590"/>
      <c r="P4" s="590"/>
      <c r="Q4" s="590"/>
      <c r="R4" s="590"/>
      <c r="S4" s="590"/>
      <c r="T4" s="590"/>
      <c r="U4" s="590"/>
      <c r="V4" s="590"/>
      <c r="W4" s="590"/>
      <c r="X4" s="590"/>
      <c r="Y4" s="590"/>
      <c r="Z4" s="590"/>
      <c r="AA4" s="590"/>
      <c r="AB4"/>
      <c r="AD4"/>
    </row>
    <row r="5" spans="1:30">
      <c r="A5" s="355" t="s">
        <v>7067</v>
      </c>
      <c r="B5" s="355">
        <f>B4*$B$2</f>
        <v>13</v>
      </c>
      <c r="C5" s="355">
        <f t="shared" ref="C5:G5" si="0">C4*$B$2</f>
        <v>14</v>
      </c>
      <c r="D5" s="355">
        <f t="shared" si="0"/>
        <v>15</v>
      </c>
      <c r="E5" s="355">
        <f t="shared" si="0"/>
        <v>16</v>
      </c>
      <c r="F5" s="355">
        <f t="shared" si="0"/>
        <v>17</v>
      </c>
      <c r="G5" s="355">
        <f t="shared" si="0"/>
        <v>18</v>
      </c>
      <c r="H5" s="590"/>
      <c r="I5" s="590"/>
      <c r="J5" s="590"/>
      <c r="K5" s="590"/>
      <c r="L5" s="590"/>
      <c r="M5" s="590"/>
      <c r="N5" s="590"/>
      <c r="O5" s="590"/>
      <c r="P5" s="590"/>
      <c r="Q5" s="590"/>
      <c r="R5" s="590"/>
      <c r="S5" s="590"/>
      <c r="T5" s="590"/>
      <c r="U5" s="590"/>
      <c r="V5" s="590"/>
      <c r="W5" s="590"/>
      <c r="X5" s="590"/>
      <c r="Y5" s="590"/>
      <c r="Z5" s="590"/>
      <c r="AA5" s="590"/>
      <c r="AB5"/>
      <c r="AD5"/>
    </row>
    <row r="6" spans="1:30">
      <c r="A6" s="355" t="s">
        <v>7069</v>
      </c>
      <c r="B6" s="355">
        <f>IF($B$3-B4&gt;0,$B$3-B4,0)</f>
        <v>5</v>
      </c>
      <c r="C6" s="355">
        <f t="shared" ref="C6:G6" si="1">IF($B$3-C4&gt;0,$B$3-C4,0)</f>
        <v>0</v>
      </c>
      <c r="D6" s="355">
        <f t="shared" si="1"/>
        <v>0</v>
      </c>
      <c r="E6" s="355">
        <f t="shared" si="1"/>
        <v>0</v>
      </c>
      <c r="F6" s="355">
        <f t="shared" si="1"/>
        <v>0</v>
      </c>
      <c r="G6" s="355">
        <f t="shared" si="1"/>
        <v>0</v>
      </c>
      <c r="H6" s="590"/>
      <c r="I6" s="590"/>
      <c r="J6" s="590"/>
      <c r="K6" s="590"/>
      <c r="L6" s="590"/>
      <c r="M6" s="590"/>
      <c r="N6" s="590"/>
      <c r="O6" s="590"/>
      <c r="P6" s="590"/>
      <c r="Q6" s="590"/>
      <c r="R6" s="590"/>
      <c r="S6" s="590"/>
      <c r="T6" s="590"/>
      <c r="U6" s="590"/>
      <c r="V6" s="590"/>
      <c r="W6" s="590"/>
      <c r="X6" s="590"/>
      <c r="Y6" s="590"/>
      <c r="Z6" s="590"/>
      <c r="AA6" s="590"/>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90"/>
      <c r="I7" s="590"/>
      <c r="J7" s="590"/>
      <c r="K7" s="590"/>
      <c r="L7" s="590"/>
      <c r="M7" s="590"/>
      <c r="N7" s="590"/>
      <c r="O7" s="590"/>
      <c r="P7" s="590"/>
      <c r="Q7" s="590"/>
      <c r="R7" s="590"/>
      <c r="S7" s="590"/>
      <c r="T7" s="590"/>
      <c r="U7" s="590"/>
      <c r="V7" s="590"/>
      <c r="W7" s="590"/>
      <c r="X7" s="590"/>
      <c r="Y7" s="590"/>
      <c r="Z7" s="590"/>
      <c r="AA7" s="590"/>
      <c r="AB7"/>
      <c r="AD7"/>
    </row>
    <row r="8" spans="1:30">
      <c r="A8" s="355" t="s">
        <v>7039</v>
      </c>
      <c r="B8" s="355">
        <f>MAX(B5,B7)</f>
        <v>22</v>
      </c>
      <c r="C8" s="355">
        <f t="shared" ref="C8:G8" si="3">MAX(C5,C7)</f>
        <v>27</v>
      </c>
      <c r="D8" s="355">
        <f t="shared" si="3"/>
        <v>27</v>
      </c>
      <c r="E8" s="355">
        <f t="shared" si="3"/>
        <v>27</v>
      </c>
      <c r="F8" s="355">
        <f t="shared" si="3"/>
        <v>27</v>
      </c>
      <c r="G8" s="355">
        <f t="shared" si="3"/>
        <v>27</v>
      </c>
      <c r="H8" s="590"/>
      <c r="I8" s="590"/>
      <c r="J8" s="590"/>
      <c r="K8" s="590"/>
      <c r="L8" s="590"/>
      <c r="M8" s="590"/>
      <c r="N8" s="590"/>
      <c r="O8" s="590"/>
      <c r="P8" s="590"/>
      <c r="Q8" s="590"/>
      <c r="R8" s="590"/>
      <c r="S8" s="590"/>
      <c r="T8" s="590"/>
      <c r="U8" s="590"/>
      <c r="V8" s="590"/>
      <c r="W8" s="590"/>
      <c r="X8" s="590"/>
      <c r="Y8" s="590"/>
      <c r="Z8" s="590"/>
      <c r="AA8" s="590"/>
      <c r="AB8"/>
      <c r="AD8"/>
    </row>
    <row r="9" spans="1:30">
      <c r="A9" s="590"/>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c r="AD9"/>
    </row>
    <row r="10" spans="1:30">
      <c r="A10" s="590"/>
      <c r="B10" s="590"/>
      <c r="C10" s="590"/>
      <c r="D10" s="590"/>
      <c r="E10" s="590"/>
      <c r="F10" s="590"/>
      <c r="G10" s="590"/>
      <c r="H10" s="590"/>
      <c r="I10" s="590"/>
      <c r="J10" s="590"/>
      <c r="K10" s="590"/>
      <c r="L10" s="590"/>
      <c r="M10" s="590"/>
      <c r="N10" s="590"/>
      <c r="O10" s="590"/>
      <c r="P10" s="590"/>
      <c r="Q10" s="590"/>
      <c r="R10" s="590"/>
      <c r="S10" s="590"/>
      <c r="T10" s="590"/>
      <c r="U10" s="590"/>
      <c r="V10" s="590"/>
      <c r="W10" s="590"/>
      <c r="X10" s="590"/>
      <c r="Y10" s="590"/>
      <c r="Z10" s="590"/>
      <c r="AA10" s="590"/>
      <c r="AB10"/>
      <c r="AC10" t="s">
        <v>25</v>
      </c>
      <c r="AD10"/>
    </row>
    <row r="11" spans="1:30">
      <c r="A11" s="590"/>
      <c r="B11" s="590"/>
      <c r="C11" s="590"/>
      <c r="D11" s="590"/>
      <c r="E11" s="590"/>
      <c r="F11" s="590"/>
      <c r="G11" s="590"/>
      <c r="H11" s="590"/>
      <c r="I11" s="590"/>
      <c r="J11" s="590"/>
      <c r="K11" s="590"/>
      <c r="L11" s="590"/>
      <c r="M11" s="590"/>
      <c r="N11" s="590"/>
      <c r="O11" s="590"/>
      <c r="P11" s="590"/>
      <c r="Q11" s="590"/>
      <c r="R11" s="590"/>
      <c r="S11" s="590"/>
      <c r="T11" s="590"/>
      <c r="U11" s="590"/>
      <c r="V11" s="590"/>
      <c r="W11" s="590"/>
      <c r="X11" s="590"/>
      <c r="Y11" s="590"/>
      <c r="Z11" s="590"/>
      <c r="AA11" s="590"/>
      <c r="AB11"/>
      <c r="AD11"/>
    </row>
    <row r="12" spans="1:30">
      <c r="A12" s="590"/>
      <c r="B12" s="590"/>
      <c r="C12" s="590"/>
      <c r="D12" s="590"/>
      <c r="E12" s="590"/>
      <c r="F12" s="590"/>
      <c r="G12" s="590"/>
      <c r="H12" s="590"/>
      <c r="I12" s="590"/>
      <c r="J12" s="590"/>
      <c r="K12" s="590"/>
      <c r="L12" s="590"/>
      <c r="M12" s="590"/>
      <c r="N12" s="590"/>
      <c r="O12" s="590"/>
      <c r="P12" s="590"/>
      <c r="Q12" s="590"/>
      <c r="R12" s="590"/>
      <c r="S12" s="590"/>
      <c r="T12" s="590"/>
      <c r="U12" s="590"/>
      <c r="V12" s="590"/>
      <c r="W12" s="590"/>
      <c r="X12" s="590"/>
      <c r="Y12" s="590"/>
      <c r="Z12" s="590"/>
      <c r="AA12" s="590"/>
      <c r="AB12"/>
      <c r="AD12"/>
    </row>
    <row r="13" spans="1:30">
      <c r="A13" s="590"/>
      <c r="B13" s="590"/>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c r="AD13"/>
    </row>
    <row r="14" spans="1:30">
      <c r="A14" s="590"/>
      <c r="B14" s="590"/>
      <c r="C14" s="590"/>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590"/>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2" t="s">
        <v>1007</v>
      </c>
      <c r="R21" s="602"/>
      <c r="S21" s="602"/>
      <c r="T21" s="602"/>
      <c r="W21" s="36" t="s">
        <v>4822</v>
      </c>
      <c r="X21" s="36">
        <v>9035210431</v>
      </c>
      <c r="Y21" s="36">
        <v>50</v>
      </c>
      <c r="Z21" s="36" t="s">
        <v>5082</v>
      </c>
      <c r="AA21" t="s">
        <v>4840</v>
      </c>
    </row>
    <row r="22" spans="5:30">
      <c r="O22" s="11"/>
      <c r="P22" s="11"/>
      <c r="Q22" s="602"/>
      <c r="R22" s="602"/>
      <c r="S22" s="602"/>
      <c r="T22" s="602"/>
      <c r="W22" s="36" t="s">
        <v>4908</v>
      </c>
      <c r="X22" s="36">
        <v>9909620343</v>
      </c>
      <c r="Y22" s="36">
        <v>200</v>
      </c>
      <c r="Z22" s="36" t="s">
        <v>5083</v>
      </c>
      <c r="AA22" t="s">
        <v>5086</v>
      </c>
      <c r="AB22" s="36" t="s">
        <v>5094</v>
      </c>
    </row>
    <row r="23" spans="5:30" ht="15.75">
      <c r="O23" s="123"/>
      <c r="P23" s="11" t="s">
        <v>3997</v>
      </c>
      <c r="Q23" s="603" t="s">
        <v>1008</v>
      </c>
      <c r="R23" s="604" t="s">
        <v>1009</v>
      </c>
      <c r="S23" s="603" t="s">
        <v>1010</v>
      </c>
      <c r="T23" s="605" t="s">
        <v>1011</v>
      </c>
      <c r="W23" s="36" t="s">
        <v>4909</v>
      </c>
      <c r="X23" s="36">
        <v>9378807702</v>
      </c>
      <c r="Y23" s="36">
        <v>0</v>
      </c>
      <c r="Z23" s="36">
        <v>0</v>
      </c>
      <c r="AD23" t="s">
        <v>25</v>
      </c>
    </row>
    <row r="24" spans="5:30">
      <c r="O24" s="11"/>
      <c r="P24" s="11"/>
      <c r="Q24" s="603"/>
      <c r="R24" s="604"/>
      <c r="S24" s="603"/>
      <c r="T24" s="605"/>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6" t="s">
        <v>6071</v>
      </c>
      <c r="C1" s="606"/>
      <c r="D1" s="606" t="s">
        <v>6072</v>
      </c>
      <c r="E1" s="606"/>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2130</v>
      </c>
      <c r="H4" s="37">
        <f>C4*G4</f>
        <v>628350000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2130</v>
      </c>
      <c r="H19" s="37">
        <f>C19*G19</f>
        <v>27553680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2023-09-05T14:09:35Z</dcterms:modified>
</cp:coreProperties>
</file>