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171" i="60" l="1"/>
  <c r="R170" i="60" s="1"/>
  <c r="R172" i="60"/>
  <c r="S172" i="60" s="1"/>
  <c r="S170" i="60" l="1"/>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P169" i="18"/>
  <c r="X507" i="18"/>
  <c r="O60" i="18"/>
  <c r="O57" i="18"/>
  <c r="T131" i="18"/>
  <c r="S168" i="60" l="1"/>
  <c r="R167" i="60"/>
  <c r="L9" i="60"/>
  <c r="R166" i="60" l="1"/>
  <c r="S167" i="60"/>
  <c r="T65" i="18"/>
  <c r="O38" i="18"/>
  <c r="O37" i="18"/>
  <c r="I38" i="63"/>
  <c r="J38" i="63" s="1"/>
  <c r="K38" i="63" s="1"/>
  <c r="N38" i="63"/>
  <c r="O38" i="63"/>
  <c r="I39" i="63"/>
  <c r="O39" i="63"/>
  <c r="G39" i="63"/>
  <c r="H39" i="63"/>
  <c r="R165" i="60" l="1"/>
  <c r="S166" i="60"/>
  <c r="J39" i="63"/>
  <c r="K39" i="63" s="1"/>
  <c r="N39" i="63"/>
  <c r="R164" i="60" l="1"/>
  <c r="S164" i="60" s="1"/>
  <c r="S165" i="60"/>
  <c r="T64" i="18"/>
  <c r="G38" i="63"/>
  <c r="H38" i="63"/>
  <c r="T63" i="18" l="1"/>
  <c r="I36" i="63"/>
  <c r="O36" i="63"/>
  <c r="I37" i="63"/>
  <c r="O37" i="63"/>
  <c r="G37" i="63"/>
  <c r="H37" i="63"/>
  <c r="J37" i="63" l="1"/>
  <c r="K37" i="63" s="1"/>
  <c r="K182" i="60"/>
  <c r="K183" i="60"/>
  <c r="K184" i="60"/>
  <c r="K185" i="60"/>
  <c r="L185" i="60" s="1"/>
  <c r="K186" i="60"/>
  <c r="K188" i="60"/>
  <c r="K189" i="60"/>
  <c r="K190" i="60"/>
  <c r="K191" i="60"/>
  <c r="K192" i="60"/>
  <c r="K193" i="60"/>
  <c r="K180" i="60"/>
  <c r="T62" i="18" l="1"/>
  <c r="X506" i="18" l="1"/>
  <c r="T130" i="18"/>
  <c r="X505" i="18" l="1"/>
  <c r="T129" i="18"/>
  <c r="X504" i="18" l="1"/>
  <c r="T128" i="18"/>
  <c r="H309" i="18" l="1"/>
  <c r="X503"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4" i="63"/>
  <c r="J34" i="63" l="1"/>
  <c r="K34" i="63" s="1"/>
  <c r="J191" i="60"/>
  <c r="H191" i="60"/>
  <c r="F191" i="60"/>
  <c r="T125" i="18" l="1"/>
  <c r="X502" i="18"/>
  <c r="I31" i="63"/>
  <c r="O31" i="63"/>
  <c r="I32" i="63"/>
  <c r="O32" i="63"/>
  <c r="O33" i="63"/>
  <c r="G33" i="63"/>
  <c r="H33" i="63"/>
  <c r="N34" i="63" s="1"/>
  <c r="G32" i="63"/>
  <c r="H32" i="63"/>
  <c r="N33" i="63" l="1"/>
  <c r="J33" i="63"/>
  <c r="K33" i="63" s="1"/>
  <c r="J32" i="63"/>
  <c r="K32" i="63" s="1"/>
  <c r="X501" i="18"/>
  <c r="S170" i="18"/>
  <c r="X500" i="18" l="1"/>
  <c r="T124" i="18" l="1"/>
  <c r="G31" i="63"/>
  <c r="H31" i="63"/>
  <c r="I29" i="63"/>
  <c r="I30" i="63"/>
  <c r="G30" i="63"/>
  <c r="H30" i="63"/>
  <c r="O30" i="63"/>
  <c r="N31" i="63" l="1"/>
  <c r="N32" i="63"/>
  <c r="J31" i="63"/>
  <c r="K31" i="63" s="1"/>
  <c r="J30" i="63"/>
  <c r="K30" i="63" s="1"/>
  <c r="T61" i="18"/>
  <c r="O29" i="63"/>
  <c r="G29" i="63"/>
  <c r="H29" i="63"/>
  <c r="J29" i="63" l="1"/>
  <c r="K29" i="63" s="1"/>
  <c r="N30" i="63"/>
  <c r="X499"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8" i="18" l="1"/>
  <c r="L51" i="18"/>
  <c r="J64" i="18"/>
  <c r="P44" i="63" l="1"/>
  <c r="I10" i="63" l="1"/>
  <c r="J10" i="63" s="1"/>
  <c r="G10" i="63"/>
  <c r="H10" i="63"/>
  <c r="K10" i="63" l="1"/>
  <c r="L16" i="18" l="1"/>
  <c r="L49" i="18"/>
  <c r="D176" i="58"/>
  <c r="I43" i="63" l="1"/>
  <c r="H43" i="63"/>
  <c r="G43" i="63"/>
  <c r="I42" i="63"/>
  <c r="H42" i="63"/>
  <c r="J43" i="63" l="1"/>
  <c r="K43" i="63" s="1"/>
  <c r="J42" i="63"/>
  <c r="K42" i="63" s="1"/>
  <c r="T94" i="18"/>
  <c r="T95" i="18" s="1"/>
  <c r="G7" i="63"/>
  <c r="H7" i="63"/>
  <c r="I7" i="63"/>
  <c r="G8" i="63"/>
  <c r="H8" i="63"/>
  <c r="I8" i="63"/>
  <c r="G9" i="63"/>
  <c r="H9" i="63"/>
  <c r="N10" i="63" s="1"/>
  <c r="I9" i="63"/>
  <c r="J8" i="63" l="1"/>
  <c r="K8" i="63" s="1"/>
  <c r="J7" i="63"/>
  <c r="K7" i="63" s="1"/>
  <c r="J9" i="63"/>
  <c r="K9" i="63" s="1"/>
  <c r="N9" i="63"/>
  <c r="N8" i="63"/>
  <c r="I28" i="63" l="1"/>
  <c r="O28" i="63"/>
  <c r="I40" i="63"/>
  <c r="I27"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I74" i="63" l="1"/>
  <c r="H74" i="63"/>
  <c r="G74" i="63"/>
  <c r="G75" i="63"/>
  <c r="H75" i="63"/>
  <c r="I75" i="63"/>
  <c r="N75" i="63"/>
  <c r="G76" i="63"/>
  <c r="H76" i="63"/>
  <c r="I76" i="63"/>
  <c r="N76" i="63"/>
  <c r="S17" i="63"/>
  <c r="U17" i="63" s="1"/>
  <c r="S18" i="63"/>
  <c r="U18" i="63" s="1"/>
  <c r="S19" i="63"/>
  <c r="S20" i="63"/>
  <c r="T20" i="63"/>
  <c r="U20" i="63"/>
  <c r="J74" i="63" l="1"/>
  <c r="K74" i="63" s="1"/>
  <c r="J76" i="63"/>
  <c r="K76" i="63" s="1"/>
  <c r="J75" i="63"/>
  <c r="K75" i="63" s="1"/>
  <c r="M62" i="63" l="1"/>
  <c r="M58" i="63"/>
  <c r="M59" i="63"/>
  <c r="H71" i="63" l="1"/>
  <c r="J2" i="60" l="1"/>
  <c r="X494" i="18" l="1"/>
  <c r="X489" i="18"/>
  <c r="X490" i="18"/>
  <c r="X491" i="18"/>
  <c r="X492" i="18"/>
  <c r="X493" i="18"/>
  <c r="X495" i="18"/>
  <c r="X496" i="18"/>
  <c r="X497" i="18"/>
  <c r="X510" i="18"/>
  <c r="X511" i="18"/>
  <c r="X512" i="18"/>
  <c r="P25" i="63"/>
  <c r="O25" i="63"/>
  <c r="O26" i="63"/>
  <c r="O27" i="63"/>
  <c r="X488" i="18" l="1"/>
  <c r="F18" i="60" l="1"/>
  <c r="F19" i="60"/>
  <c r="F17" i="60"/>
  <c r="F16" i="60" l="1"/>
  <c r="M61" i="63"/>
  <c r="M60" i="63"/>
  <c r="F29" i="60"/>
  <c r="E6" i="60" l="1"/>
  <c r="L6" i="60" s="1"/>
  <c r="F3" i="60" l="1"/>
  <c r="F4" i="60"/>
  <c r="F2" i="60"/>
  <c r="H70" i="63" l="1"/>
  <c r="X487" i="18" l="1"/>
  <c r="H69" i="63"/>
  <c r="N74" i="63"/>
  <c r="K113" i="18" l="1"/>
  <c r="M57" i="63" l="1"/>
  <c r="N52" i="18"/>
  <c r="I44" i="63"/>
  <c r="G44" i="63"/>
  <c r="H44" i="63"/>
  <c r="J44" i="63" l="1"/>
  <c r="K44" i="63" s="1"/>
  <c r="X486" i="18"/>
  <c r="X485" i="18"/>
  <c r="X48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0" i="63"/>
  <c r="M51" i="63"/>
  <c r="M52" i="63"/>
  <c r="M53" i="63"/>
  <c r="M54" i="63"/>
  <c r="M55" i="63"/>
  <c r="M56" i="63"/>
  <c r="M49" i="63"/>
  <c r="H68" i="63"/>
  <c r="I29" i="68" l="1"/>
  <c r="I41" i="68" s="1"/>
  <c r="X483" i="18"/>
  <c r="H67"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6" i="63"/>
  <c r="X482" i="18"/>
  <c r="X481" i="18" l="1"/>
  <c r="V513" i="18"/>
  <c r="N45" i="18"/>
  <c r="N21" i="18"/>
  <c r="N29" i="18"/>
  <c r="G28" i="63" l="1"/>
  <c r="H28" i="63"/>
  <c r="N29" i="63" s="1"/>
  <c r="G27" i="63"/>
  <c r="H27" i="63"/>
  <c r="N28" i="63" l="1"/>
  <c r="J28" i="63"/>
  <c r="K28" i="63" s="1"/>
  <c r="J27" i="63"/>
  <c r="K27" i="63" s="1"/>
  <c r="X480" i="18"/>
  <c r="I26" i="63"/>
  <c r="G26" i="63"/>
  <c r="H26" i="63"/>
  <c r="N27" i="63" s="1"/>
  <c r="J26" i="63" l="1"/>
  <c r="K26" i="63" s="1"/>
  <c r="X479" i="18" l="1"/>
  <c r="N25" i="63"/>
  <c r="I25" i="63"/>
  <c r="H25" i="63"/>
  <c r="N26" i="63" s="1"/>
  <c r="G25" i="63"/>
  <c r="J25" i="63" l="1"/>
  <c r="K25" i="63" s="1"/>
  <c r="H56" i="63" l="1"/>
  <c r="G56" i="63"/>
  <c r="I55" i="63"/>
  <c r="G55" i="63"/>
  <c r="H55" i="63"/>
  <c r="J56" i="63" l="1"/>
  <c r="K56" i="63" s="1"/>
  <c r="J55" i="63"/>
  <c r="K55" i="63" s="1"/>
  <c r="Q12" i="63" l="1"/>
  <c r="G23" i="63" l="1"/>
  <c r="H23" i="63"/>
  <c r="N24" i="63" l="1"/>
  <c r="J23" i="63"/>
  <c r="K23" i="63" s="1"/>
  <c r="I22" i="63"/>
  <c r="G22" i="63"/>
  <c r="H22" i="63"/>
  <c r="N23" i="63" s="1"/>
  <c r="J22" i="63" l="1"/>
  <c r="K22" i="63" s="1"/>
  <c r="X478" i="18"/>
  <c r="X47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6" i="18" l="1"/>
  <c r="X475"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4" i="18" l="1"/>
  <c r="X473"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2"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1" i="18"/>
  <c r="R159" i="60" l="1"/>
  <c r="S160" i="60"/>
  <c r="X470" i="18"/>
  <c r="X469" i="18"/>
  <c r="X468" i="18"/>
  <c r="S159" i="60" l="1"/>
  <c r="R158" i="60"/>
  <c r="X467" i="18"/>
  <c r="S158" i="60" l="1"/>
  <c r="R157" i="60"/>
  <c r="I51" i="63"/>
  <c r="I52" i="63"/>
  <c r="I53" i="63"/>
  <c r="I54" i="63"/>
  <c r="I50"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6" i="18"/>
  <c r="R154" i="60" l="1"/>
  <c r="S155" i="60"/>
  <c r="X465" i="18"/>
  <c r="X464" i="18"/>
  <c r="N31" i="18"/>
  <c r="S154" i="60" l="1"/>
  <c r="R153" i="60"/>
  <c r="E152" i="60"/>
  <c r="E154" i="60"/>
  <c r="E155" i="60"/>
  <c r="E156" i="60"/>
  <c r="E153" i="60"/>
  <c r="S153" i="60" l="1"/>
  <c r="R152" i="60"/>
  <c r="X463"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9" i="18"/>
  <c r="S148" i="60" l="1"/>
  <c r="R147" i="60"/>
  <c r="X462" i="18"/>
  <c r="R146" i="60" l="1"/>
  <c r="S147" i="60"/>
  <c r="X461" i="18"/>
  <c r="P24" i="18"/>
  <c r="N24" i="18" s="1"/>
  <c r="M110" i="18" s="1"/>
  <c r="N49" i="18"/>
  <c r="S146" i="60" l="1"/>
  <c r="R145" i="60"/>
  <c r="F135" i="60"/>
  <c r="D135" i="60"/>
  <c r="D141" i="60" s="1"/>
  <c r="S145" i="60" l="1"/>
  <c r="R144" i="60"/>
  <c r="I136" i="60"/>
  <c r="R143" i="60" l="1"/>
  <c r="S144" i="60"/>
  <c r="F136" i="60"/>
  <c r="I137" i="60" s="1"/>
  <c r="F137" i="60" s="1"/>
  <c r="I138" i="60" s="1"/>
  <c r="X459" i="18"/>
  <c r="S143" i="60" l="1"/>
  <c r="R142" i="60"/>
  <c r="F138" i="60"/>
  <c r="F141" i="60" s="1"/>
  <c r="S142" i="60" l="1"/>
  <c r="R141" i="60"/>
  <c r="W150" i="18"/>
  <c r="AK489" i="18"/>
  <c r="R140" i="60" l="1"/>
  <c r="S141" i="60"/>
  <c r="X458" i="18"/>
  <c r="X457" i="18"/>
  <c r="X456" i="18"/>
  <c r="X460" i="18"/>
  <c r="X455" i="18"/>
  <c r="X454" i="18"/>
  <c r="P26" i="18"/>
  <c r="N26" i="18" s="1"/>
  <c r="N50" i="18"/>
  <c r="X374" i="18"/>
  <c r="R139" i="60" l="1"/>
  <c r="S140" i="60"/>
  <c r="T108" i="18"/>
  <c r="R138" i="60" l="1"/>
  <c r="S139" i="60"/>
  <c r="M8" i="60"/>
  <c r="D2" i="60"/>
  <c r="R137" i="60" l="1"/>
  <c r="S138" i="60"/>
  <c r="X453" i="18"/>
  <c r="R136" i="60" l="1"/>
  <c r="S137" i="60"/>
  <c r="X452" i="18"/>
  <c r="X451" i="18"/>
  <c r="AM244" i="18"/>
  <c r="AM243" i="18" s="1"/>
  <c r="AM242" i="18" s="1"/>
  <c r="R135" i="60" l="1"/>
  <c r="S136" i="60"/>
  <c r="X450" i="18"/>
  <c r="R134" i="60" l="1"/>
  <c r="S135" i="60"/>
  <c r="X449" i="18"/>
  <c r="G21" i="63"/>
  <c r="H21" i="63"/>
  <c r="N22" i="63" s="1"/>
  <c r="U2" i="63"/>
  <c r="R133" i="60" l="1"/>
  <c r="S134" i="60"/>
  <c r="J21" i="63"/>
  <c r="K21" i="63" s="1"/>
  <c r="G50" i="63"/>
  <c r="H50" i="63"/>
  <c r="J50" i="63" s="1"/>
  <c r="K50" i="63" s="1"/>
  <c r="S133" i="60" l="1"/>
  <c r="R132" i="60"/>
  <c r="S297" i="18"/>
  <c r="R131" i="60" l="1"/>
  <c r="S132" i="60"/>
  <c r="X446" i="18"/>
  <c r="X447" i="18"/>
  <c r="X448" i="18"/>
  <c r="R130" i="60" l="1"/>
  <c r="S131" i="60"/>
  <c r="P23" i="18"/>
  <c r="R129" i="60" l="1"/>
  <c r="S130" i="60"/>
  <c r="X445" i="18"/>
  <c r="S129" i="60" l="1"/>
  <c r="R128" i="60"/>
  <c r="G20" i="63"/>
  <c r="H20" i="63"/>
  <c r="S128" i="60" l="1"/>
  <c r="R127" i="60"/>
  <c r="J20" i="63"/>
  <c r="K20" i="63" s="1"/>
  <c r="N21" i="63"/>
  <c r="X444" i="18"/>
  <c r="R126" i="60" l="1"/>
  <c r="S127" i="60"/>
  <c r="X443"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2" i="18"/>
  <c r="R119" i="60" l="1"/>
  <c r="S120" i="60"/>
  <c r="K41" i="63"/>
  <c r="N17" i="63"/>
  <c r="G14" i="63"/>
  <c r="H14" i="63"/>
  <c r="G15" i="63"/>
  <c r="H15" i="63"/>
  <c r="X441" i="18"/>
  <c r="G12" i="63"/>
  <c r="H12" i="63"/>
  <c r="G13" i="63"/>
  <c r="H13" i="63"/>
  <c r="S119" i="60" l="1"/>
  <c r="R118" i="60"/>
  <c r="N14" i="63"/>
  <c r="J14" i="63"/>
  <c r="K14" i="63" s="1"/>
  <c r="N15" i="63"/>
  <c r="J15" i="63"/>
  <c r="K15" i="63" s="1"/>
  <c r="N16" i="63"/>
  <c r="N13" i="63"/>
  <c r="J13" i="63"/>
  <c r="K13" i="63" s="1"/>
  <c r="J12" i="63"/>
  <c r="K12" i="63" s="1"/>
  <c r="X440" i="18"/>
  <c r="R117" i="60" l="1"/>
  <c r="S118" i="60"/>
  <c r="W151" i="18"/>
  <c r="X439" i="18"/>
  <c r="G11" i="63"/>
  <c r="R116" i="60" l="1"/>
  <c r="S117" i="60"/>
  <c r="U147" i="18"/>
  <c r="U145" i="18"/>
  <c r="P33" i="18"/>
  <c r="G4" i="67" s="1"/>
  <c r="X438" i="18"/>
  <c r="R115" i="60" l="1"/>
  <c r="S116" i="60"/>
  <c r="H4" i="67"/>
  <c r="H10" i="67" s="1"/>
  <c r="G19" i="67"/>
  <c r="H19" i="67" s="1"/>
  <c r="H23" i="67" s="1"/>
  <c r="X437" i="18"/>
  <c r="S115" i="60" l="1"/>
  <c r="R114" i="60"/>
  <c r="E26" i="67"/>
  <c r="H1" i="63"/>
  <c r="S114" i="60" l="1"/>
  <c r="R113" i="60"/>
  <c r="J1" i="63"/>
  <c r="K1" i="63" s="1"/>
  <c r="P173" i="60"/>
  <c r="R112" i="60" l="1"/>
  <c r="S113" i="60"/>
  <c r="X434" i="18"/>
  <c r="R111" i="60" l="1"/>
  <c r="S112" i="60"/>
  <c r="X433" i="18"/>
  <c r="S111" i="60" l="1"/>
  <c r="R110" i="60"/>
  <c r="H11" i="63"/>
  <c r="J11" i="63" s="1"/>
  <c r="K11" i="63" s="1"/>
  <c r="S110" i="60" l="1"/>
  <c r="R109" i="60"/>
  <c r="N12" i="63"/>
  <c r="F46" i="60"/>
  <c r="G46" i="60" s="1"/>
  <c r="R108" i="60" l="1"/>
  <c r="S109" i="60"/>
  <c r="G52" i="63"/>
  <c r="H52" i="63"/>
  <c r="J52" i="63" s="1"/>
  <c r="K52" i="63" s="1"/>
  <c r="G53" i="63"/>
  <c r="H53" i="63"/>
  <c r="J53" i="63" s="1"/>
  <c r="G54" i="63"/>
  <c r="H54" i="63"/>
  <c r="G51" i="63"/>
  <c r="H51" i="63"/>
  <c r="J51" i="63" s="1"/>
  <c r="K51" i="63" s="1"/>
  <c r="X432" i="18"/>
  <c r="R107" i="60" l="1"/>
  <c r="S108" i="60"/>
  <c r="J54" i="63"/>
  <c r="K54" i="63" s="1"/>
  <c r="K53" i="63"/>
  <c r="R106" i="60" l="1"/>
  <c r="S107" i="60"/>
  <c r="X431" i="18"/>
  <c r="G5" i="63"/>
  <c r="H5" i="63"/>
  <c r="G6" i="63"/>
  <c r="H6" i="63"/>
  <c r="G2" i="63"/>
  <c r="H2" i="63"/>
  <c r="G3" i="63"/>
  <c r="H3" i="63"/>
  <c r="S106" i="60" l="1"/>
  <c r="R105" i="60"/>
  <c r="J6" i="63"/>
  <c r="K6" i="63" s="1"/>
  <c r="N7" i="63"/>
  <c r="J2" i="63"/>
  <c r="K2" i="63" s="1"/>
  <c r="J3" i="63"/>
  <c r="K3" i="63" s="1"/>
  <c r="J5" i="63"/>
  <c r="K5" i="63" s="1"/>
  <c r="N6" i="63"/>
  <c r="N3" i="63"/>
  <c r="X430" i="18"/>
  <c r="R104" i="60" l="1"/>
  <c r="S105" i="60"/>
  <c r="X429" i="18"/>
  <c r="R103" i="60" l="1"/>
  <c r="S104" i="60"/>
  <c r="R102" i="60" l="1"/>
  <c r="S103" i="60"/>
  <c r="O473" i="52"/>
  <c r="J473" i="52"/>
  <c r="R101" i="60" l="1"/>
  <c r="S102" i="60"/>
  <c r="X424" i="18"/>
  <c r="X425" i="18"/>
  <c r="X426" i="18"/>
  <c r="X427" i="18"/>
  <c r="X428" i="18"/>
  <c r="X435" i="18"/>
  <c r="X436" i="18"/>
  <c r="AM488" i="18"/>
  <c r="AM487" i="18" s="1"/>
  <c r="O472" i="52"/>
  <c r="J472" i="52"/>
  <c r="S101" i="60" l="1"/>
  <c r="R100" i="60"/>
  <c r="AN487" i="18"/>
  <c r="AM486" i="18"/>
  <c r="AN488" i="18"/>
  <c r="S100" i="60" l="1"/>
  <c r="R99" i="60"/>
  <c r="AM485" i="18"/>
  <c r="AN486" i="18"/>
  <c r="AM471" i="18"/>
  <c r="S545" i="18"/>
  <c r="X423" i="18"/>
  <c r="X422" i="18"/>
  <c r="X421" i="18"/>
  <c r="X420" i="18"/>
  <c r="X419"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3" i="18"/>
  <c r="X414" i="18"/>
  <c r="X415" i="18"/>
  <c r="X416" i="18"/>
  <c r="X417" i="18"/>
  <c r="X418" i="18"/>
  <c r="R90" i="60" l="1"/>
  <c r="S91" i="60"/>
  <c r="AN476" i="18"/>
  <c r="AM475" i="18"/>
  <c r="AM462" i="18"/>
  <c r="AN462" i="18" s="1"/>
  <c r="AN463" i="18"/>
  <c r="O454" i="52"/>
  <c r="J454" i="52"/>
  <c r="S90" i="60" l="1"/>
  <c r="R89" i="60"/>
  <c r="AM474" i="18"/>
  <c r="AN475" i="18"/>
  <c r="X412" i="18"/>
  <c r="S89" i="60" l="1"/>
  <c r="R88" i="60"/>
  <c r="AM473" i="18"/>
  <c r="AN474" i="18"/>
  <c r="R87" i="60" l="1"/>
  <c r="S88" i="60"/>
  <c r="AN473" i="18"/>
  <c r="AM472" i="18"/>
  <c r="AN472" i="18" s="1"/>
  <c r="X411" i="18"/>
  <c r="X410" i="18"/>
  <c r="R86" i="60" l="1"/>
  <c r="S87" i="60"/>
  <c r="X409" i="18"/>
  <c r="X408" i="18"/>
  <c r="R85" i="60" l="1"/>
  <c r="S86" i="60"/>
  <c r="X407" i="18"/>
  <c r="S85" i="60" l="1"/>
  <c r="R84" i="60"/>
  <c r="X406" i="18"/>
  <c r="R83" i="60" l="1"/>
  <c r="S84" i="60"/>
  <c r="X405" i="18"/>
  <c r="S83" i="60" l="1"/>
  <c r="R82" i="60"/>
  <c r="X404" i="18"/>
  <c r="S82" i="60" l="1"/>
  <c r="R81" i="60"/>
  <c r="X403" i="18"/>
  <c r="S81" i="60" l="1"/>
  <c r="R80" i="60"/>
  <c r="X402"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1"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0" i="18"/>
  <c r="S78" i="60" l="1"/>
  <c r="R77" i="60"/>
  <c r="X399" i="18"/>
  <c r="S77" i="60" l="1"/>
  <c r="R76" i="60"/>
  <c r="X398" i="18"/>
  <c r="R75" i="60" l="1"/>
  <c r="S76" i="60"/>
  <c r="X397" i="18"/>
  <c r="R74" i="60" l="1"/>
  <c r="S75" i="60"/>
  <c r="X396" i="18"/>
  <c r="R73" i="60" l="1"/>
  <c r="S74" i="60"/>
  <c r="G1" i="63"/>
  <c r="R72" i="60" l="1"/>
  <c r="S73" i="60"/>
  <c r="N2" i="63"/>
  <c r="X395" i="18"/>
  <c r="R71" i="60" l="1"/>
  <c r="S72" i="60"/>
  <c r="X394" i="18"/>
  <c r="S71" i="60" l="1"/>
  <c r="R70" i="60"/>
  <c r="X393" i="18"/>
  <c r="R69" i="60" l="1"/>
  <c r="S70" i="60"/>
  <c r="X392" i="18"/>
  <c r="R68" i="60" l="1"/>
  <c r="S69" i="60"/>
  <c r="X391" i="18"/>
  <c r="S68" i="60" l="1"/>
  <c r="R67" i="60"/>
  <c r="X390" i="18"/>
  <c r="S67" i="60" l="1"/>
  <c r="R66" i="60"/>
  <c r="X389" i="18"/>
  <c r="R65" i="60" l="1"/>
  <c r="S66" i="60"/>
  <c r="X385" i="18"/>
  <c r="X388" i="18"/>
  <c r="R64" i="60" l="1"/>
  <c r="S65" i="60"/>
  <c r="X387" i="18"/>
  <c r="S64" i="60" l="1"/>
  <c r="R63" i="60"/>
  <c r="X386" i="18"/>
  <c r="S63" i="60" l="1"/>
  <c r="R62" i="60"/>
  <c r="X384" i="18"/>
  <c r="S62" i="60" l="1"/>
  <c r="R61" i="60"/>
  <c r="X383" i="18"/>
  <c r="S61" i="60" l="1"/>
  <c r="R60" i="60"/>
  <c r="X381" i="18"/>
  <c r="X380" i="18"/>
  <c r="X379" i="18"/>
  <c r="X376" i="18"/>
  <c r="X377" i="18"/>
  <c r="X378" i="18"/>
  <c r="X375" i="18"/>
  <c r="X382" i="18"/>
  <c r="R59" i="60" l="1"/>
  <c r="S60" i="60"/>
  <c r="X373" i="18"/>
  <c r="S59" i="60" l="1"/>
  <c r="R58" i="60"/>
  <c r="X372" i="18"/>
  <c r="S58" i="60" l="1"/>
  <c r="R57" i="60"/>
  <c r="X371" i="18"/>
  <c r="R56" i="60" l="1"/>
  <c r="S57" i="60"/>
  <c r="X370" i="18"/>
  <c r="R55" i="60" l="1"/>
  <c r="S56" i="60"/>
  <c r="X369" i="18"/>
  <c r="R54" i="60" l="1"/>
  <c r="S55" i="60"/>
  <c r="X368" i="18"/>
  <c r="X367"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6"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5" i="18"/>
  <c r="S51" i="60" l="1"/>
  <c r="R50" i="60"/>
  <c r="X364" i="18"/>
  <c r="S50" i="60" l="1"/>
  <c r="R49" i="60"/>
  <c r="X363" i="18"/>
  <c r="S49" i="60" l="1"/>
  <c r="R48" i="60"/>
  <c r="X362" i="18"/>
  <c r="R47" i="60" l="1"/>
  <c r="S48" i="60"/>
  <c r="X361" i="18"/>
  <c r="X360" i="18"/>
  <c r="X359" i="18"/>
  <c r="X358" i="18"/>
  <c r="S47" i="60" l="1"/>
  <c r="R46" i="60"/>
  <c r="X357" i="18"/>
  <c r="S46" i="60" l="1"/>
  <c r="R45" i="60"/>
  <c r="X356"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5" i="18"/>
  <c r="S37" i="60" l="1"/>
  <c r="R36" i="60"/>
  <c r="AM241" i="18"/>
  <c r="AN242" i="18"/>
  <c r="S36" i="60" l="1"/>
  <c r="R35" i="60"/>
  <c r="AM240" i="18"/>
  <c r="AN241" i="18"/>
  <c r="X354" i="18"/>
  <c r="R34" i="60" l="1"/>
  <c r="S35" i="60"/>
  <c r="AM239" i="18"/>
  <c r="AN240" i="18"/>
  <c r="X353"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2" i="18"/>
  <c r="X351" i="18"/>
  <c r="X350" i="18"/>
  <c r="X349" i="18"/>
  <c r="X34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3" i="18"/>
  <c r="X344" i="18"/>
  <c r="X345" i="18"/>
  <c r="X346" i="18"/>
  <c r="X347" i="18"/>
  <c r="AM230" i="18" l="1"/>
  <c r="AN231" i="18"/>
  <c r="X342" i="18"/>
  <c r="AM229" i="18" l="1"/>
  <c r="AN230" i="18"/>
  <c r="X341" i="18"/>
  <c r="AM228" i="18" l="1"/>
  <c r="AN229" i="18"/>
  <c r="X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9" i="18"/>
  <c r="P374" i="52" l="1"/>
  <c r="AM227" i="18"/>
  <c r="AN228" i="18"/>
  <c r="P375" i="52"/>
  <c r="P376" i="52"/>
  <c r="P368" i="52"/>
  <c r="P373" i="52"/>
  <c r="P372" i="52"/>
  <c r="P371" i="52"/>
  <c r="P370" i="52"/>
  <c r="P369" i="52"/>
  <c r="X338" i="18"/>
  <c r="AM226" i="18" l="1"/>
  <c r="AN227" i="18"/>
  <c r="AM225" i="18" l="1"/>
  <c r="AN226" i="18"/>
  <c r="AM224" i="18" l="1"/>
  <c r="AN225" i="18"/>
  <c r="AM223" i="18" l="1"/>
  <c r="AN224" i="18"/>
  <c r="X337"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6" i="18"/>
  <c r="AM217" i="18" l="1"/>
  <c r="AN218" i="18"/>
  <c r="AM458" i="18"/>
  <c r="AN459" i="18"/>
  <c r="X335" i="18"/>
  <c r="AM216" i="18" l="1"/>
  <c r="AN217" i="18"/>
  <c r="AN458" i="18"/>
  <c r="AM457" i="18"/>
  <c r="X334" i="18"/>
  <c r="AM215" i="18" l="1"/>
  <c r="AN216" i="18"/>
  <c r="AM456" i="18"/>
  <c r="AN457" i="18"/>
  <c r="M154" i="18"/>
  <c r="L154" i="18"/>
  <c r="X333" i="18"/>
  <c r="AM214" i="18" l="1"/>
  <c r="AN214" i="18" s="1"/>
  <c r="AN215" i="18"/>
  <c r="AN456" i="18"/>
  <c r="AM455" i="18"/>
  <c r="X332" i="18"/>
  <c r="AM454" i="18" l="1"/>
  <c r="AN455" i="18"/>
  <c r="X331"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0" i="18"/>
  <c r="AM448" i="18" l="1"/>
  <c r="AN449" i="18"/>
  <c r="G108" i="18"/>
  <c r="G107" i="18"/>
  <c r="X329" i="18"/>
  <c r="J347" i="52"/>
  <c r="AN448" i="18" l="1"/>
  <c r="AM447" i="18"/>
  <c r="L148" i="18"/>
  <c r="M148" i="18"/>
  <c r="M147" i="18"/>
  <c r="L147" i="18"/>
  <c r="X328" i="18"/>
  <c r="AN447" i="18" l="1"/>
  <c r="AM446" i="18"/>
  <c r="X327" i="18"/>
  <c r="AN446" i="18" l="1"/>
  <c r="AM445" i="18"/>
  <c r="AM444" i="18" l="1"/>
  <c r="AN445" i="18"/>
  <c r="AM443" i="18" l="1"/>
  <c r="AN444" i="18"/>
  <c r="X326" i="18" l="1"/>
  <c r="X325" i="18" l="1"/>
  <c r="X324" i="18" l="1"/>
  <c r="X323" i="18" l="1"/>
  <c r="N348" i="52"/>
  <c r="X32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3" i="18" l="1"/>
  <c r="X32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0" i="18"/>
  <c r="D418" i="15" l="1"/>
  <c r="F419" i="15"/>
  <c r="F418" i="15" l="1"/>
  <c r="D417" i="15"/>
  <c r="X319" i="18"/>
  <c r="O305" i="52"/>
  <c r="J305" i="52"/>
  <c r="D416" i="15" l="1"/>
  <c r="F417" i="15"/>
  <c r="D415" i="15" l="1"/>
  <c r="F416" i="15"/>
  <c r="X318" i="18"/>
  <c r="O302" i="52"/>
  <c r="F415" i="15" l="1"/>
  <c r="D414" i="15"/>
  <c r="D413" i="15" l="1"/>
  <c r="F414" i="15"/>
  <c r="D412" i="15" l="1"/>
  <c r="F413" i="15"/>
  <c r="X317" i="18"/>
  <c r="O301" i="52"/>
  <c r="F412" i="15" l="1"/>
  <c r="D411" i="15"/>
  <c r="D410" i="15" l="1"/>
  <c r="F411" i="15"/>
  <c r="X316" i="18"/>
  <c r="X315" i="18"/>
  <c r="J300" i="52"/>
  <c r="F410" i="15" l="1"/>
  <c r="D409" i="15"/>
  <c r="X314" i="18"/>
  <c r="O299" i="52"/>
  <c r="X313" i="18"/>
  <c r="X312" i="18"/>
  <c r="D408" i="15" l="1"/>
  <c r="F409" i="15"/>
  <c r="X311" i="18"/>
  <c r="X310" i="18"/>
  <c r="X309" i="18"/>
  <c r="N30" i="18"/>
  <c r="O298" i="52"/>
  <c r="D407" i="15" l="1"/>
  <c r="F408" i="15"/>
  <c r="J298" i="52"/>
  <c r="F407" i="15" l="1"/>
  <c r="D406" i="15"/>
  <c r="O297" i="52"/>
  <c r="X308" i="18"/>
  <c r="X307" i="18"/>
  <c r="X306" i="18"/>
  <c r="D405" i="15" l="1"/>
  <c r="F406" i="15"/>
  <c r="X305" i="18"/>
  <c r="J296" i="52"/>
  <c r="D404" i="15" l="1"/>
  <c r="F405" i="15"/>
  <c r="J295" i="52"/>
  <c r="F404" i="15" l="1"/>
  <c r="D403" i="15"/>
  <c r="X30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0" i="18"/>
  <c r="D388" i="15" l="1"/>
  <c r="F389" i="15"/>
  <c r="J275" i="52"/>
  <c r="F388" i="15" l="1"/>
  <c r="D387" i="15"/>
  <c r="X299" i="18"/>
  <c r="D386" i="15" l="1"/>
  <c r="F387" i="15"/>
  <c r="J274" i="52"/>
  <c r="F386" i="15" l="1"/>
  <c r="D385" i="15"/>
  <c r="X29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7" i="18"/>
  <c r="X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4" i="18"/>
  <c r="X293" i="18"/>
  <c r="X292" i="18"/>
  <c r="D364" i="15" l="1"/>
  <c r="F365" i="15"/>
  <c r="O223" i="52"/>
  <c r="X291" i="18"/>
  <c r="F364" i="15" l="1"/>
  <c r="D363" i="15"/>
  <c r="J222" i="52"/>
  <c r="X290" i="18"/>
  <c r="D362" i="15" l="1"/>
  <c r="F363" i="15"/>
  <c r="X289" i="18"/>
  <c r="X288" i="18"/>
  <c r="D361" i="15" l="1"/>
  <c r="F362" i="15"/>
  <c r="O220" i="52"/>
  <c r="F361" i="15" l="1"/>
  <c r="D360" i="15"/>
  <c r="X287" i="18"/>
  <c r="X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4" i="18"/>
  <c r="F348" i="15" l="1"/>
  <c r="D347" i="15"/>
  <c r="O210" i="52"/>
  <c r="D346" i="15" l="1"/>
  <c r="F347" i="15"/>
  <c r="J210" i="52"/>
  <c r="D345" i="15" l="1"/>
  <c r="F346" i="15"/>
  <c r="J209" i="52"/>
  <c r="O208" i="52"/>
  <c r="J208" i="52"/>
  <c r="D344" i="15" l="1"/>
  <c r="F345" i="15"/>
  <c r="X283" i="18"/>
  <c r="F344" i="15" l="1"/>
  <c r="D343" i="15"/>
  <c r="O207" i="52"/>
  <c r="J207" i="52"/>
  <c r="X282" i="18"/>
  <c r="D342" i="15" l="1"/>
  <c r="F343" i="15"/>
  <c r="X281" i="18"/>
  <c r="D341" i="15" l="1"/>
  <c r="F342" i="15"/>
  <c r="X280" i="18"/>
  <c r="D340" i="15" l="1"/>
  <c r="F341" i="15"/>
  <c r="O204" i="52"/>
  <c r="F340" i="15" l="1"/>
  <c r="D339" i="15"/>
  <c r="J203" i="52"/>
  <c r="X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8" i="18"/>
  <c r="X277" i="18"/>
  <c r="X276" i="18"/>
  <c r="J202" i="52"/>
  <c r="D336" i="15" l="1"/>
  <c r="F337" i="15"/>
  <c r="X275" i="18"/>
  <c r="J201" i="52"/>
  <c r="X274" i="18"/>
  <c r="F336" i="15" l="1"/>
  <c r="D335" i="15"/>
  <c r="J200" i="52"/>
  <c r="D334" i="15" l="1"/>
  <c r="F335" i="15"/>
  <c r="X27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2" i="18"/>
  <c r="F330" i="15" l="1"/>
  <c r="D329" i="15"/>
  <c r="D328" i="15" l="1"/>
  <c r="F329" i="15"/>
  <c r="X271" i="18"/>
  <c r="D327" i="15" l="1"/>
  <c r="F328" i="15"/>
  <c r="AM213" i="18" l="1"/>
  <c r="F327" i="15"/>
  <c r="D326" i="15"/>
  <c r="AM212" i="18" l="1"/>
  <c r="AN213" i="18"/>
  <c r="F326" i="15"/>
  <c r="D325" i="15"/>
  <c r="J195" i="52"/>
  <c r="O195" i="52"/>
  <c r="J194" i="52"/>
  <c r="X270" i="18"/>
  <c r="AM211" i="18" l="1"/>
  <c r="AN212" i="18"/>
  <c r="F325" i="15"/>
  <c r="D324" i="15"/>
  <c r="N194" i="52"/>
  <c r="X269" i="18"/>
  <c r="X268" i="18"/>
  <c r="AM210" i="18" l="1"/>
  <c r="AN211" i="18"/>
  <c r="F324" i="15"/>
  <c r="D323" i="15"/>
  <c r="X267" i="18"/>
  <c r="AN210" i="18" l="1"/>
  <c r="AM209" i="18"/>
  <c r="F323" i="15"/>
  <c r="D322" i="15"/>
  <c r="S142" i="18"/>
  <c r="T142" i="18" s="1"/>
  <c r="AM208" i="18" l="1"/>
  <c r="AN209" i="18"/>
  <c r="F322" i="15"/>
  <c r="D321" i="15"/>
  <c r="X266" i="18"/>
  <c r="AN208" i="18" l="1"/>
  <c r="AM207" i="18"/>
  <c r="F321" i="15"/>
  <c r="D320" i="15"/>
  <c r="X265" i="18"/>
  <c r="O190" i="52"/>
  <c r="J190" i="52"/>
  <c r="AM206" i="18" l="1"/>
  <c r="AN207" i="18"/>
  <c r="F320" i="15"/>
  <c r="D319" i="15"/>
  <c r="X264" i="18"/>
  <c r="AN206" i="18" l="1"/>
  <c r="AM205" i="18"/>
  <c r="F319" i="15"/>
  <c r="D318" i="15"/>
  <c r="N54" i="18"/>
  <c r="N51" i="18"/>
  <c r="M107" i="18" l="1"/>
  <c r="AN205" i="18"/>
  <c r="AM204" i="18"/>
  <c r="F318" i="15"/>
  <c r="D317" i="15"/>
  <c r="O187" i="52"/>
  <c r="X263" i="18"/>
  <c r="AN204" i="18" l="1"/>
  <c r="AM203" i="18"/>
  <c r="F317" i="15"/>
  <c r="D316" i="15"/>
  <c r="J186" i="52"/>
  <c r="X262" i="18"/>
  <c r="X250" i="18"/>
  <c r="X249" i="18"/>
  <c r="AN203" i="18" l="1"/>
  <c r="AM202" i="18"/>
  <c r="F316" i="15"/>
  <c r="D315" i="15"/>
  <c r="J185" i="52"/>
  <c r="X261" i="18"/>
  <c r="AN202" i="18" l="1"/>
  <c r="AM201" i="18"/>
  <c r="F315" i="15"/>
  <c r="D314" i="15"/>
  <c r="AM200" i="18" l="1"/>
  <c r="AN201" i="18"/>
  <c r="F314" i="15"/>
  <c r="D313" i="15"/>
  <c r="AM199" i="18" l="1"/>
  <c r="AN200" i="18"/>
  <c r="F313" i="15"/>
  <c r="D312" i="15"/>
  <c r="N181" i="52"/>
  <c r="AM198" i="18" l="1"/>
  <c r="AN199" i="18"/>
  <c r="F312" i="15"/>
  <c r="D311" i="15"/>
  <c r="X260" i="18"/>
  <c r="B8" i="36"/>
  <c r="AM197" i="18" l="1"/>
  <c r="AN198" i="18"/>
  <c r="F311" i="15"/>
  <c r="D310" i="15"/>
  <c r="O178" i="52"/>
  <c r="J178" i="52"/>
  <c r="AN197" i="18" l="1"/>
  <c r="AM196" i="18"/>
  <c r="F310" i="15"/>
  <c r="D309" i="15"/>
  <c r="N47" i="18"/>
  <c r="M108" i="18" s="1"/>
  <c r="X259" i="18"/>
  <c r="O177" i="52"/>
  <c r="J177" i="52"/>
  <c r="G137" i="18" l="1"/>
  <c r="G138" i="18" s="1"/>
  <c r="AN196" i="18"/>
  <c r="AM195" i="18"/>
  <c r="F309" i="15"/>
  <c r="D308" i="15"/>
  <c r="O176" i="52"/>
  <c r="J176" i="52"/>
  <c r="AN195" i="18" l="1"/>
  <c r="AM194" i="18"/>
  <c r="F308" i="15"/>
  <c r="D307" i="15"/>
  <c r="F307" i="15" s="1"/>
  <c r="AN194" i="18" l="1"/>
  <c r="AM193" i="18"/>
  <c r="J174" i="52"/>
  <c r="X258" i="18"/>
  <c r="AN193" i="18" l="1"/>
  <c r="AM192" i="18"/>
  <c r="J168" i="52"/>
  <c r="O168" i="52"/>
  <c r="X257" i="18"/>
  <c r="AN192" i="18" l="1"/>
  <c r="AM191" i="18"/>
  <c r="AN191" i="18" s="1"/>
  <c r="O167" i="52"/>
  <c r="X256" i="18"/>
  <c r="O166" i="52" l="1"/>
  <c r="X255" i="18"/>
  <c r="X254" i="18" l="1"/>
  <c r="O165" i="52"/>
  <c r="J165" i="52"/>
  <c r="AM442" i="18" l="1"/>
  <c r="AN443" i="18"/>
  <c r="O162" i="52"/>
  <c r="J162" i="52"/>
  <c r="X25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2" i="18"/>
  <c r="AM438" i="18" l="1"/>
  <c r="AN439" i="18"/>
  <c r="X251" i="18"/>
  <c r="AN438" i="18" l="1"/>
  <c r="AM437" i="18"/>
  <c r="AM190" i="18"/>
  <c r="AM436" i="18" l="1"/>
  <c r="AN437" i="18"/>
  <c r="AM189" i="18"/>
  <c r="AN190" i="18"/>
  <c r="N159" i="52"/>
  <c r="P160" i="52" s="1"/>
  <c r="X24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7" i="18"/>
  <c r="X246" i="18"/>
  <c r="O150" i="52"/>
  <c r="AM431" i="18" l="1"/>
  <c r="AN432" i="18"/>
  <c r="AN185" i="18"/>
  <c r="AM184" i="18"/>
  <c r="AM430" i="18" l="1"/>
  <c r="AN431" i="18"/>
  <c r="AM183" i="18"/>
  <c r="AN184" i="18"/>
  <c r="Q146" i="52"/>
  <c r="J146" i="52"/>
  <c r="X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4" i="18"/>
  <c r="AN428" i="18" l="1"/>
  <c r="AM427" i="18"/>
  <c r="AN181" i="18"/>
  <c r="AM180" i="18"/>
  <c r="X243" i="18"/>
  <c r="AM426" i="18" l="1"/>
  <c r="AN427" i="18"/>
  <c r="AN180" i="18"/>
  <c r="AM179" i="18"/>
  <c r="O142" i="52"/>
  <c r="J142" i="52"/>
  <c r="X242" i="18"/>
  <c r="AM425" i="18" l="1"/>
  <c r="AN426" i="18"/>
  <c r="AN179" i="18"/>
  <c r="AM178" i="18"/>
  <c r="AN178" i="18" s="1"/>
  <c r="O140" i="52"/>
  <c r="J140" i="52"/>
  <c r="X241" i="18"/>
  <c r="AN425" i="18" l="1"/>
  <c r="AM424" i="18"/>
  <c r="X240" i="18"/>
  <c r="X239" i="18"/>
  <c r="O139" i="52"/>
  <c r="J139" i="52"/>
  <c r="AN424" i="18" l="1"/>
  <c r="AM423" i="18"/>
  <c r="X238" i="18"/>
  <c r="AN423" i="18" l="1"/>
  <c r="AM422" i="18"/>
  <c r="AN422" i="18" l="1"/>
  <c r="AM421" i="18"/>
  <c r="M41" i="52"/>
  <c r="AN421" i="18" l="1"/>
  <c r="AM420" i="18"/>
  <c r="O135" i="52"/>
  <c r="J135" i="52"/>
  <c r="AN420" i="18" l="1"/>
  <c r="AM419" i="18"/>
  <c r="AM418" i="18" l="1"/>
  <c r="AN419" i="18"/>
  <c r="X237" i="18"/>
  <c r="AM417" i="18" l="1"/>
  <c r="AN418" i="18"/>
  <c r="O132" i="52"/>
  <c r="X236" i="18"/>
  <c r="AN417" i="18" l="1"/>
  <c r="AM416" i="18"/>
  <c r="O131" i="52"/>
  <c r="J3" i="60"/>
  <c r="J4" i="60"/>
  <c r="O8" i="60"/>
  <c r="AM415" i="18" l="1"/>
  <c r="AN416" i="18"/>
  <c r="O130" i="52"/>
  <c r="O129" i="52"/>
  <c r="X235" i="18"/>
  <c r="X234" i="18"/>
  <c r="AM414" i="18" l="1"/>
  <c r="AN415" i="18"/>
  <c r="N129" i="52"/>
  <c r="AM413" i="18" l="1"/>
  <c r="AN414" i="18"/>
  <c r="O127" i="52"/>
  <c r="AM412" i="18" l="1"/>
  <c r="AN413" i="18"/>
  <c r="J126" i="52"/>
  <c r="O126" i="52"/>
  <c r="X233" i="18"/>
  <c r="AN412" i="18" l="1"/>
  <c r="AM411" i="18"/>
  <c r="O125" i="52"/>
  <c r="J125" i="52"/>
  <c r="AN411" i="18" l="1"/>
  <c r="AM410" i="18"/>
  <c r="X23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0" i="18"/>
  <c r="AN407" i="18" l="1"/>
  <c r="AM406" i="18"/>
  <c r="AN406" i="18" l="1"/>
  <c r="AM405" i="18"/>
  <c r="O121" i="52"/>
  <c r="J121" i="52"/>
  <c r="X229" i="18"/>
  <c r="AM404" i="18" l="1"/>
  <c r="AN405" i="18"/>
  <c r="X228" i="18"/>
  <c r="J120" i="52"/>
  <c r="AN404" i="18" l="1"/>
  <c r="AM403" i="18"/>
  <c r="AM402" i="18" l="1"/>
  <c r="AN403" i="18"/>
  <c r="O117" i="52"/>
  <c r="AN402" i="18" l="1"/>
  <c r="AM401" i="18"/>
  <c r="O116" i="52"/>
  <c r="N116" i="52"/>
  <c r="AN401" i="18" l="1"/>
  <c r="AM400" i="18"/>
  <c r="X22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6" i="18"/>
  <c r="J108" i="52"/>
  <c r="AN392" i="18" l="1"/>
  <c r="AM391" i="18"/>
  <c r="D303" i="15"/>
  <c r="F303" i="15" s="1"/>
  <c r="X225" i="18"/>
  <c r="X224" i="18"/>
  <c r="AN391" i="18" l="1"/>
  <c r="AM390" i="18"/>
  <c r="D302" i="15"/>
  <c r="F302" i="15" s="1"/>
  <c r="O106" i="52"/>
  <c r="J106" i="52"/>
  <c r="AM389" i="18" l="1"/>
  <c r="AN390" i="18"/>
  <c r="D301" i="15"/>
  <c r="F301" i="15" s="1"/>
  <c r="J104" i="52"/>
  <c r="E276" i="15"/>
  <c r="E277" i="15"/>
  <c r="E278" i="15"/>
  <c r="E279" i="15"/>
  <c r="E280" i="15"/>
  <c r="AM388" i="18" l="1"/>
  <c r="AN389" i="18"/>
  <c r="D300" i="15"/>
  <c r="F300" i="15" s="1"/>
  <c r="X223"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2"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9" i="18"/>
  <c r="X220" i="18"/>
  <c r="X219" i="18"/>
  <c r="X218" i="18"/>
  <c r="M48" i="52"/>
  <c r="M47" i="52"/>
  <c r="N38" i="52"/>
  <c r="N37" i="52"/>
  <c r="M49" i="52"/>
  <c r="N50" i="52" s="1"/>
  <c r="AM375" i="18" l="1"/>
  <c r="AN376" i="18"/>
  <c r="D287" i="15"/>
  <c r="F287" i="15" s="1"/>
  <c r="N49" i="52"/>
  <c r="X217" i="18"/>
  <c r="AN375" i="18" l="1"/>
  <c r="AM374" i="18"/>
  <c r="D286" i="15"/>
  <c r="F286" i="15" s="1"/>
  <c r="AM373" i="18" l="1"/>
  <c r="AN374" i="18"/>
  <c r="D285" i="15"/>
  <c r="F285" i="15" s="1"/>
  <c r="X216"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5" i="18"/>
  <c r="AN371" i="18" l="1"/>
  <c r="AM370" i="18"/>
  <c r="D282" i="15"/>
  <c r="F282" i="15" s="1"/>
  <c r="G32" i="57"/>
  <c r="H32" i="57"/>
  <c r="D32" i="57"/>
  <c r="I32" i="57" s="1"/>
  <c r="D345" i="20"/>
  <c r="X214" i="18"/>
  <c r="X21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2" i="18"/>
  <c r="D343" i="20"/>
  <c r="AM366" i="18" l="1"/>
  <c r="AN367" i="18"/>
  <c r="D278" i="15"/>
  <c r="F278" i="15" s="1"/>
  <c r="X211" i="18"/>
  <c r="D342" i="20"/>
  <c r="J83" i="52"/>
  <c r="O83" i="52"/>
  <c r="X210" i="18"/>
  <c r="X209" i="18"/>
  <c r="F44" i="14"/>
  <c r="F45" i="14"/>
  <c r="F46" i="14"/>
  <c r="F47" i="14"/>
  <c r="F48" i="14"/>
  <c r="F49" i="14"/>
  <c r="F50" i="14"/>
  <c r="D341" i="20"/>
  <c r="AM365" i="18" l="1"/>
  <c r="AN366" i="18"/>
  <c r="D277" i="15"/>
  <c r="F277" i="15" s="1"/>
  <c r="AN365" i="18" l="1"/>
  <c r="AM364" i="18"/>
  <c r="D276" i="15"/>
  <c r="F276" i="15" s="1"/>
  <c r="X208" i="18"/>
  <c r="AM363" i="18" l="1"/>
  <c r="AN364" i="18"/>
  <c r="D340" i="20"/>
  <c r="X207" i="18"/>
  <c r="H337" i="20"/>
  <c r="H338" i="20"/>
  <c r="H339" i="20"/>
  <c r="H340" i="20"/>
  <c r="H341" i="20"/>
  <c r="H368" i="20"/>
  <c r="H369" i="20"/>
  <c r="D339" i="20"/>
  <c r="AM362" i="18" l="1"/>
  <c r="AN363" i="18"/>
  <c r="B371" i="20"/>
  <c r="D332" i="20"/>
  <c r="D333" i="20"/>
  <c r="D334" i="20"/>
  <c r="D335" i="20"/>
  <c r="D336" i="20"/>
  <c r="D337" i="20"/>
  <c r="D338" i="20"/>
  <c r="D369" i="20"/>
  <c r="AM361" i="18" l="1"/>
  <c r="AN362" i="18"/>
  <c r="X206" i="18"/>
  <c r="D80" i="57"/>
  <c r="AM360" i="18" l="1"/>
  <c r="AN361" i="18"/>
  <c r="G46" i="10"/>
  <c r="AM359" i="18" l="1"/>
  <c r="AN360" i="18"/>
  <c r="D331" i="20"/>
  <c r="AM358" i="18" l="1"/>
  <c r="AN359" i="18"/>
  <c r="D330" i="20"/>
  <c r="AM357" i="18" l="1"/>
  <c r="AN358" i="18"/>
  <c r="X205" i="18"/>
  <c r="X20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3" i="18"/>
  <c r="X202" i="18"/>
  <c r="AM345" i="18" l="1"/>
  <c r="AN346" i="18"/>
  <c r="S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1" i="18"/>
  <c r="X200" i="18"/>
  <c r="N36" i="52"/>
  <c r="N35" i="52"/>
  <c r="Q42" i="52"/>
  <c r="AM343" i="18" l="1"/>
  <c r="AN344" i="18"/>
  <c r="X199" i="18"/>
  <c r="X19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7" i="18"/>
  <c r="X196" i="18"/>
  <c r="N32" i="52"/>
  <c r="N31" i="52"/>
  <c r="AM338" i="18" l="1"/>
  <c r="AN338" i="18" s="1"/>
  <c r="AN339" i="18"/>
  <c r="X195" i="18"/>
  <c r="X194" i="18"/>
  <c r="N30" i="52"/>
  <c r="N29" i="52"/>
  <c r="X193" i="18" l="1"/>
  <c r="X192" i="18"/>
  <c r="N28" i="52"/>
  <c r="N27" i="52"/>
  <c r="AM337" i="18" l="1"/>
  <c r="D313" i="20"/>
  <c r="AM336" i="18" l="1"/>
  <c r="AN337" i="18"/>
  <c r="L114" i="18"/>
  <c r="L110" i="18" l="1"/>
  <c r="N110" i="18" s="1"/>
  <c r="L111" i="18"/>
  <c r="N111" i="18" s="1"/>
  <c r="L109" i="18"/>
  <c r="N109" i="18" s="1"/>
  <c r="M114" i="18"/>
  <c r="AN336" i="18"/>
  <c r="AM335" i="18"/>
  <c r="L106" i="18"/>
  <c r="X191" i="18"/>
  <c r="X190"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9" i="18"/>
  <c r="X188" i="18"/>
  <c r="N23" i="52"/>
  <c r="N22" i="52"/>
  <c r="I368" i="20" l="1"/>
  <c r="G367" i="20"/>
  <c r="J368" i="20"/>
  <c r="K368" i="20"/>
  <c r="AM332" i="18"/>
  <c r="AN333" i="18"/>
  <c r="X187" i="18"/>
  <c r="X18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5" i="18"/>
  <c r="X184"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3" i="18"/>
  <c r="X182" i="18"/>
  <c r="N17" i="52"/>
  <c r="N16" i="52"/>
  <c r="AM170" i="18" l="1"/>
  <c r="AN171" i="18"/>
  <c r="I356" i="20"/>
  <c r="G355" i="20"/>
  <c r="J356" i="20"/>
  <c r="K356" i="20"/>
  <c r="L107" i="18"/>
  <c r="AM169" i="18" l="1"/>
  <c r="AM168" i="18" s="1"/>
  <c r="AN170" i="18"/>
  <c r="J355" i="20"/>
  <c r="I355" i="20"/>
  <c r="G354" i="20"/>
  <c r="K355" i="20"/>
  <c r="X181" i="18"/>
  <c r="X180" i="18"/>
  <c r="D303" i="20"/>
  <c r="D302" i="20"/>
  <c r="X179"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7" i="18"/>
  <c r="AM163" i="18" l="1"/>
  <c r="AN164" i="18"/>
  <c r="I350" i="20"/>
  <c r="J350" i="20"/>
  <c r="K350" i="20"/>
  <c r="G349" i="20"/>
  <c r="D296" i="20"/>
  <c r="D295" i="20"/>
  <c r="AN163" i="18" l="1"/>
  <c r="AM162" i="18"/>
  <c r="K349" i="20"/>
  <c r="I349" i="20"/>
  <c r="J349" i="20"/>
  <c r="G348" i="20"/>
  <c r="X176" i="18"/>
  <c r="X17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4" i="18"/>
  <c r="X173" i="18"/>
  <c r="AN161" i="18" l="1"/>
  <c r="AM160" i="18"/>
  <c r="G346" i="20"/>
  <c r="J347" i="20"/>
  <c r="I347" i="20"/>
  <c r="K347" i="20"/>
  <c r="D293" i="20"/>
  <c r="AM159" i="18" l="1"/>
  <c r="AN160" i="18"/>
  <c r="K346" i="20"/>
  <c r="G345" i="20"/>
  <c r="J346" i="20"/>
  <c r="I346" i="20"/>
  <c r="X172" i="18"/>
  <c r="AN159" i="18" l="1"/>
  <c r="AM158" i="18"/>
  <c r="K345" i="20"/>
  <c r="G344" i="20"/>
  <c r="J345" i="20"/>
  <c r="I345" i="20"/>
  <c r="D292" i="20"/>
  <c r="C8" i="36"/>
  <c r="X17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7" i="18"/>
  <c r="AN124" i="18" l="1"/>
  <c r="AM123" i="18"/>
  <c r="AN123" i="18" l="1"/>
  <c r="AM122" i="18"/>
  <c r="AM121" i="18" l="1"/>
  <c r="AN122" i="18"/>
  <c r="X161" i="18"/>
  <c r="X162" i="18"/>
  <c r="X163" i="18"/>
  <c r="X164" i="18"/>
  <c r="X165" i="18"/>
  <c r="X166" i="18"/>
  <c r="X178" i="18"/>
  <c r="X160" i="18"/>
  <c r="AN121" i="18" l="1"/>
  <c r="AM120" i="18"/>
  <c r="N53" i="18"/>
  <c r="S161" i="18" l="1"/>
  <c r="AN120" i="18"/>
  <c r="AM119" i="18"/>
  <c r="AN119" i="18" l="1"/>
  <c r="AM118" i="18"/>
  <c r="T76" i="18"/>
  <c r="T77" i="18" s="1"/>
  <c r="S166" i="18"/>
  <c r="S164" i="18"/>
  <c r="D57" i="51"/>
  <c r="T78" i="18" l="1"/>
  <c r="T79" i="18" s="1"/>
  <c r="T80" i="18" s="1"/>
  <c r="AM117" i="18"/>
  <c r="AN118" i="18"/>
  <c r="AN117" i="18" l="1"/>
  <c r="AM116" i="18"/>
  <c r="T81" i="18"/>
  <c r="T82" i="18" s="1"/>
  <c r="N33" i="18"/>
  <c r="S163"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7"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2"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6"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6" i="18"/>
  <c r="W519" i="18" s="1"/>
  <c r="V529" i="18"/>
  <c r="W529" i="18" s="1"/>
  <c r="G304" i="20"/>
  <c r="I305" i="20"/>
  <c r="K305" i="20"/>
  <c r="J305" i="20"/>
  <c r="AM73" i="18"/>
  <c r="AN74" i="18"/>
  <c r="S103" i="18"/>
  <c r="W131" i="18" l="1"/>
  <c r="W133" i="18"/>
  <c r="W135" i="18"/>
  <c r="W132" i="18"/>
  <c r="W134"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6"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6" i="18"/>
  <c r="X148"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2" i="18" l="1"/>
  <c r="Y132" i="18"/>
  <c r="X133" i="18"/>
  <c r="Y133" i="18"/>
  <c r="Y135" i="18"/>
  <c r="X135" i="18"/>
  <c r="X134" i="18"/>
  <c r="Y134" i="18"/>
  <c r="Y131" i="18"/>
  <c r="X131"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6" i="18"/>
  <c r="Y136"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2"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7" i="18"/>
  <c r="G139" i="18" s="1"/>
  <c r="G302" i="20"/>
  <c r="K303" i="20"/>
  <c r="I303" i="20"/>
  <c r="J303" i="20"/>
  <c r="Y26" i="18"/>
  <c r="X81" i="18"/>
  <c r="Y81" i="18"/>
  <c r="X25" i="18"/>
  <c r="Y25" i="18"/>
  <c r="Y24" i="18"/>
  <c r="X80" i="18"/>
  <c r="Y80" i="18"/>
  <c r="X23" i="18"/>
  <c r="X79" i="18"/>
  <c r="Y79" i="18"/>
  <c r="X78" i="18"/>
  <c r="Y78" i="18"/>
  <c r="X145" i="18"/>
  <c r="Y77" i="18"/>
  <c r="X77" i="18"/>
  <c r="X22" i="18"/>
  <c r="Y22" i="18"/>
  <c r="X20" i="18"/>
  <c r="Y20" i="18"/>
  <c r="X107" i="18"/>
  <c r="Y107" i="18"/>
  <c r="X21" i="18"/>
  <c r="Y21" i="18"/>
  <c r="AM71" i="18"/>
  <c r="AN72" i="18"/>
  <c r="X151" i="18" l="1"/>
  <c r="Y145" i="18" s="1"/>
  <c r="X153" i="18"/>
  <c r="X154" i="18" s="1"/>
  <c r="L28" i="18" s="1"/>
  <c r="N61" i="18"/>
  <c r="I139" i="18"/>
  <c r="I140" i="18"/>
  <c r="G140" i="18"/>
  <c r="G301" i="20"/>
  <c r="I302" i="20"/>
  <c r="K302" i="20"/>
  <c r="J302" i="20"/>
  <c r="AM70" i="18"/>
  <c r="AN71" i="18"/>
  <c r="Y148" i="18" l="1"/>
  <c r="Y146" i="18"/>
  <c r="Y147"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<sst xmlns="http://schemas.openxmlformats.org/spreadsheetml/2006/main" count="16897" uniqueCount="7043">
  <si>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</si>
  <si>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</si>
  <si>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</si>
  <si>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</si>
  <si>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</si>
  <si>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</si>
  <si>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</si>
  <si>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</si>
  <si>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</si>
  <si>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</si>
  <si>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</si>
  <si>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</si>
  <si>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</si>
  <si>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</si>
  <si>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</si>
  <si>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</si>
  <si>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</si>
  <si>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</si>
  <si>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</si>
  <si>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</si>
  <si>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</si>
  <si>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</si>
  <si>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</si>
  <si>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</si>
  <si>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</si>
  <si>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</si>
  <si>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</si>
  <si>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</si>
  <si>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</si>
  <si>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</si>
  <si>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</si>
  <si>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</si>
  <si>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</si>
  <si>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</si>
  <si>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</si>
  <si>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</si>
  <si>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</si>
  <si>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</si>
  <si>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</si>
  <si>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</si>
  <si>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</si>
  <si>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</si>
  <si>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</si>
  <si>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</si>
  <si>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</si>
  <si>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</si>
  <si>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</si>
  <si>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</si>
  <si>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</si>
  <si>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</si>
  <si>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</si>
  <si>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</si>
  <si>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</si>
  <si>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</si>
  <si>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</si>
  <si>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</si>
  <si>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</si>
  <si>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</si>
  <si>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</si>
  <si>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</si>
  <si>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</si>
  <si>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</si>
  <si>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</si>
  <si>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</si>
  <si>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</si>
  <si>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</si>
  <si>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</si>
  <si>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</si>
  <si>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</si>
  <si>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</si>
  <si>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</si>
  <si>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</si>
  <si>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</si>
  <si>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</si>
  <si>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</si>
  <si>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</si>
  <si>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</si>
  <si>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</si>
  <si>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</si>
  <si>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</si>
  <si>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</si>
  <si>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</si>
  <si>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</si>
  <si>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</si>
  <si>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</si>
  <si>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</si>
  <si>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</si>
  <si>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</si>
  <si>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</si>
  <si>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</si>
  <si>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</si>
  <si>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</si>
  <si>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</si>
  <si>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</si>
  <si>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</si>
  <si>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</si>
  <si>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</si>
  <si>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</si>
  <si>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</si>
  <si>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</si>
  <si>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</si>
  <si>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</si>
  <si>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</si>
  <si>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</si>
  <si>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</si>
  <si>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</si>
  <si>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</si>
  <si>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</si>
  <si>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</si>
  <si>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</si>
  <si>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</si>
  <si>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</si>
  <si>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</si>
  <si>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</si>
  <si>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</si>
  <si>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</si>
  <si>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</si>
  <si>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</si>
  <si>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</si>
  <si>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</si>
  <si>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</si>
  <si>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</si>
  <si>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</si>
  <si>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</si>
  <si>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</si>
  <si>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</si>
  <si>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</si>
  <si>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</si>
  <si>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</si>
  <si>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</si>
  <si>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</si>
  <si>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</si>
  <si>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</si>
  <si>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</si>
  <si>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</si>
  <si>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</si>
  <si>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</si>
  <si>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</si>
  <si>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</si>
  <si>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</si>
  <si>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</si>
  <si>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</si>
  <si>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</si>
  <si>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</si>
  <si>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</si>
  <si>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</si>
  <si>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</si>
  <si>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</si>
  <si>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</si>
  <si>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</si>
  <si>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</si>
  <si>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</si>
  <si>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</si>
  <si>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</si>
  <si>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</si>
  <si>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</si>
  <si>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</si>
  <si>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</si>
  <si>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</si>
  <si>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</si>
  <si>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</si>
  <si>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</si>
  <si>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</si>
  <si>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</si>
  <si>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</si>
  <si>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</si>
  <si>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</si>
  <si>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</si>
  <si>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</si>
  <si>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</si>
  <si>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</si>
  <si>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</si>
  <si>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</si>
  <si>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</si>
  <si>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</si>
  <si>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</si>
  <si>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</si>
  <si>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</si>
  <si>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</si>
  <si>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</si>
  <si>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</si>
  <si>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</si>
  <si>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</si>
  <si>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</si>
  <si>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</si>
  <si>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</si>
  <si>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</si>
  <si>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</si>
  <si>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</si>
  <si>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</si>
  <si>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</si>
  <si>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</si>
  <si>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</si>
  <si>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</si>
  <si>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</si>
  <si>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</si>
  <si>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</si>
  <si>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</si>
  <si>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</si>
  <si>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</si>
  <si>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</si>
  <si>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</si>
  <si>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</si>
  <si>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</si>
  <si>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</si>
  <si>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</si>
  <si>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</si>
  <si>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</si>
  <si>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</si>
  <si>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</si>
  <si>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</si>
  <si>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</si>
  <si>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</si>
  <si>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</si>
  <si>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</si>
  <si>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</si>
  <si>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</si>
  <si>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</si>
  <si>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</si>
  <si>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</si>
  <si>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</si>
  <si>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</si>
  <si>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</si>
  <si>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</si>
  <si>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</si>
  <si>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</si>
  <si>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</si>
  <si>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</si>
  <si>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</si>
  <si>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</si>
  <si>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</si>
  <si>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</si>
  <si>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</si>
  <si>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</si>
  <si>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</si>
  <si>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</si>
  <si>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</si>
  <si>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</si>
  <si>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</si>
  <si>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</si>
  <si>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</si>
  <si>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</si>
  <si>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</si>
  <si>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</si>
  <si>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</si>
  <si>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</si>
  <si>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</si>
  <si>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</si>
  <si>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</si>
  <si>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</si>
  <si>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</si>
  <si>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</si>
  <si>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</si>
  <si>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</si>
  <si>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</si>
  <si>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</si>
  <si>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</si>
  <si>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</si>
  <si>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</si>
  <si>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</si>
  <si>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</si>
  <si>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</si>
  <si>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</si>
  <si>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</si>
  <si>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</si>
  <si>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</si>
  <si>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</si>
  <si>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</si>
  <si>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</si>
  <si>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</si>
  <si>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</si>
  <si>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</si>
  <si>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</si>
  <si>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</si>
  <si>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</si>
  <si>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</si>
  <si>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</si>
  <si>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</si>
  <si>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</si>
  <si>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</si>
  <si>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</si>
  <si>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</si>
  <si>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</si>
  <si>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</si>
  <si>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</si>
  <si>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</si>
  <si>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</si>
  <si>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</si>
  <si>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</si>
  <si>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</si>
  <si>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</si>
  <si>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</si>
  <si>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</si>
  <si>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</si>
  <si>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</si>
  <si>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</si>
  <si>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</si>
  <si>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</si>
  <si>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</si>
  <si>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</si>
  <si>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</si>
  <si>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</si>
  <si>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</si>
  <si>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</si>
  <si>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</si>
  <si>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</si>
  <si>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</si>
  <si>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</si>
  <si>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</si>
  <si>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</si>
  <si>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</si>
  <si>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</si>
  <si>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</si>
  <si>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</si>
  <si>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</si>
  <si>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</si>
  <si>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</si>
  <si>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</si>
  <si>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</si>
  <si>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</si>
  <si>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</si>
  <si>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</si>
  <si>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</si>
  <si>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</si>
  <si>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</si>
  <si>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</si>
  <si>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</si>
  <si>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</si>
  <si>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</si>
  <si>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</si>
  <si>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</si>
  <si>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</si>
  <si>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</si>
  <si>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</si>
  <si>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</si>
  <si>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</si>
  <si>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</si>
  <si>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</si>
  <si>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</si>
  <si>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</si>
  <si>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</si>
  <si>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</si>
  <si>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</si>
  <si>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</si>
  <si>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</si>
  <si>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</si>
  <si>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</si>
  <si>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</si>
  <si>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</si>
  <si>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</si>
  <si>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</si>
  <si>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</si>
  <si>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</si>
  <si>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</si>
  <si>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</si>
  <si>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</si>
  <si>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</si>
  <si>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</si>
  <si>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</si>
  <si>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</si>
  <si>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</si>
  <si>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</si>
  <si>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</si>
  <si>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</si>
  <si>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</si>
  <si>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</si>
  <si>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</si>
  <si>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</si>
  <si>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</si>
  <si>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</si>
  <si>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</si>
  <si>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</si>
  <si>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</si>
  <si>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</si>
  <si>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</si>
  <si>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</si>
  <si>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</si>
  <si>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</si>
  <si>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</si>
  <si>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</si>
  <si>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</si>
  <si>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</si>
  <si>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</si>
  <si>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</si>
  <si>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</si>
  <si>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</si>
  <si>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</si>
  <si>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</si>
  <si>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</si>
  <si>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</si>
  <si>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</si>
  <si>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</si>
  <si>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</si>
  <si>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</si>
  <si>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</si>
  <si>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</si>
  <si>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</si>
  <si>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</si>
  <si>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</si>
  <si>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</si>
  <si>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</si>
  <si>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</si>
  <si>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</si>
  <si>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</si>
  <si>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</si>
  <si>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</si>
  <si>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</si>
  <si>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</si>
  <si>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</si>
  <si>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</si>
  <si>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</si>
  <si>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</si>
  <si>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</si>
  <si>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</si>
  <si>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</si>
  <si>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</si>
  <si>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</si>
  <si>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</si>
  <si>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</si>
  <si>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</si>
  <si>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</si>
  <si>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</si>
  <si>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</si>
  <si>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</si>
  <si>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</si>
  <si>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</si>
  <si>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</si>
  <si>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</si>
  <si>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</si>
  <si>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</si>
  <si>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</si>
  <si>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</si>
  <si>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</si>
  <si>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</si>
  <si>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</si>
  <si>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</si>
  <si>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</si>
  <si>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</si>
  <si>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</si>
  <si>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</si>
  <si>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</si>
  <si>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</si>
  <si>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</si>
  <si>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</si>
  <si>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</si>
  <si>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</si>
  <si>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</si>
  <si>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</si>
  <si>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</si>
  <si>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</si>
  <si>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</si>
  <si>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</si>
  <si>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</si>
  <si>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</si>
  <si>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</si>
  <si>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</si>
  <si>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</si>
  <si>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</si>
  <si>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</si>
  <si>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</si>
  <si>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</si>
  <si>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</si>
  <si>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</si>
  <si>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</si>
  <si>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</si>
  <si>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</si>
  <si>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</si>
  <si>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</si>
  <si>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</si>
  <si>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</si>
  <si>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</si>
  <si>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</si>
  <si>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</si>
  <si>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</si>
  <si>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</si>
  <si>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</si>
  <si>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</si>
  <si>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</si>
  <si>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</si>
  <si>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</si>
  <si>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</si>
  <si>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</si>
  <si>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</si>
  <si>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</si>
  <si>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</si>
  <si>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</si>
  <si>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</si>
  <si>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</si>
  <si>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</si>
  <si>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</si>
  <si>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</si>
  <si>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</si>
  <si>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</si>
  <si>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</si>
  <si>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</si>
  <si>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</si>
  <si>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</si>
  <si>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</si>
  <si>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</si>
  <si>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</si>
  <si>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</si>
  <si>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</si>
  <si>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</si>
  <si>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</si>
  <si>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</si>
  <si>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</si>
  <si>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</si>
  <si>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</si>
  <si>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</si>
  <si>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</si>
  <si>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</si>
  <si>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</si>
  <si>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</si>
  <si>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</si>
  <si>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</si>
  <si>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</si>
  <si>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</si>
  <si>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</si>
  <si>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</si>
  <si>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</si>
  <si>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</si>
  <si>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</si>
  <si>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</si>
  <si>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</si>
  <si>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</si>
  <si>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</si>
  <si>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</si>
  <si>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</si>
  <si>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</si>
  <si>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</si>
  <si>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</si>
  <si>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</si>
  <si>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</si>
  <si>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</si>
  <si>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</si>
  <si>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</si>
  <si>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</si>
  <si>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</si>
  <si>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</si>
  <si>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</si>
  <si>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</si>
  <si>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</si>
  <si>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</si>
  <si>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</si>
  <si>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</si>
  <si>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</si>
  <si>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</si>
  <si>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</si>
  <si>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</si>
  <si>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</si>
  <si>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</si>
  <si>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</si>
  <si>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</si>
  <si>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</si>
  <si>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</si>
  <si>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</si>
  <si>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</si>
  <si>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</si>
  <si>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</si>
  <si>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</si>
  <si>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</si>
  <si>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</si>
  <si>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</si>
  <si>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</si>
  <si>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</si>
  <si>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</si>
  <si>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</si>
  <si>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</si>
  <si>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</si>
  <si>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</si>
  <si>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</si>
  <si>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</si>
  <si>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</si>
  <si>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</si>
  <si>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</si>
  <si>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</si>
  <si>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</si>
  <si>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</si>
  <si>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</si>
  <si>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</si>
  <si>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</si>
  <si>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</si>
  <si>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</si>
  <si>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</si>
  <si>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</si>
  <si>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</si>
  <si>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</si>
  <si>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</si>
  <si>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</si>
  <si>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</si>
  <si>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</si>
  <si>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</si>
  <si>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</si>
  <si>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</si>
  <si>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</si>
  <si>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</si>
  <si>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</si>
  <si>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</si>
  <si>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</si>
  <si>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</si>
  <si>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</si>
  <si>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</si>
  <si>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</si>
  <si>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</si>
  <si>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</si>
  <si>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</si>
  <si>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</si>
  <si>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</si>
  <si>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</si>
  <si>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</si>
  <si>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</si>
  <si>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</si>
  <si>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</si>
  <si>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</si>
  <si>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</si>
  <si>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</si>
  <si>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</si>
  <si>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</si>
  <si>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</si>
  <si>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</si>
  <si>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</si>
  <si>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</si>
  <si>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</si>
  <si>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</si>
  <si>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</si>
  <si>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</si>
  <si>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</si>
  <si>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</si>
  <si>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</si>
  <si>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</si>
  <si>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</si>
  <si>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</si>
  <si>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</si>
  <si>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</si>
  <si>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</si>
  <si>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</si>
  <si>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</si>
  <si>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</si>
  <si>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</si>
  <si>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</si>
  <si>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</si>
  <si>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</si>
  <si>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</si>
  <si>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</si>
  <si>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</si>
  <si>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</si>
  <si>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</si>
  <si>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</si>
  <si>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</si>
  <si>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</si>
  <si>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</si>
  <si>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</si>
  <si>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</si>
  <si>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</si>
  <si>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</si>
  <si>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</si>
  <si>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</si>
  <si>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</si>
  <si>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</si>
  <si>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</si>
  <si>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</si>
  <si>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</si>
  <si>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</si>
  <si>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</si>
  <si>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</si>
  <si>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</si>
  <si>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</si>
  <si>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</si>
  <si>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</si>
  <si>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</si>
  <si>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</si>
  <si>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</si>
  <si>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</si>
  <si>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</si>
  <si>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</si>
  <si>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</si>
  <si>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</si>
  <si>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</si>
  <si>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</si>
  <si>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</si>
  <si>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</si>
  <si>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</si>
  <si>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</si>
  <si>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</si>
  <si>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</si>
  <si>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</si>
  <si>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</si>
  <si>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</si>
  <si>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</si>
  <si>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</si>
  <si>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</si>
  <si>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</si>
  <si>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</si>
  <si>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</si>
  <si>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</si>
  <si>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</si>
  <si>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</si>
  <si>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</si>
  <si>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</si>
  <si>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</si>
  <si>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</si>
  <si>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</si>
  <si>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</si>
  <si>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</si>
  <si>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</si>
  <si>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</si>
  <si>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</si>
  <si>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</si>
  <si>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</si>
  <si>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</si>
  <si>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</si>
  <si>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</si>
  <si>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</si>
  <si>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</si>
  <si>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</si>
  <si>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</si>
  <si>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</si>
  <si>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</si>
  <si>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</si>
  <si>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</si>
  <si>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</si>
  <si>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</si>
  <si>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</si>
  <si>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</si>
  <si>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</si>
  <si>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</si>
  <si>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</si>
  <si>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</si>
  <si>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</si>
  <si>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</si>
  <si>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</si>
  <si>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</si>
  <si>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</si>
  <si>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</si>
  <si>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</si>
  <si>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</si>
  <si>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</si>
  <si>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</si>
  <si>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</si>
  <si>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</si>
  <si>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</si>
  <si>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</si>
  <si>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</si>
  <si>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</si>
  <si>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</si>
  <si>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</si>
  <si>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</si>
  <si>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</si>
  <si>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</si>
  <si>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</si>
  <si>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</si>
  <si>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</si>
  <si>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</si>
  <si>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</si>
  <si>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</si>
  <si>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</si>
  <si>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</si>
  <si>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</si>
  <si>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</si>
  <si>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</si>
  <si>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</si>
  <si>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</si>
  <si>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</si>
  <si>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</si>
  <si>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</si>
  <si>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</si>
  <si>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</si>
  <si>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</si>
  <si>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</si>
  <si>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</si>
  <si>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</si>
  <si>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</si>
  <si>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</si>
  <si>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</si>
  <si>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</si>
  <si>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</si>
  <si>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</si>
  <si>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</si>
  <si>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</si>
  <si>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</si>
  <si>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</si>
  <si>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</si>
  <si>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</si>
  <si>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</si>
  <si>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</si>
  <si>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</si>
  <si>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</si>
  <si>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</si>
  <si>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</si>
  <si>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</si>
  <si>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</si>
  <si>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</si>
  <si>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</si>
  <si>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</si>
  <si>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</si>
  <si>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</si>
  <si>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</si>
  <si>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</si>
  <si>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</si>
  <si>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</si>
  <si>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</si>
  <si>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</si>
  <si>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</si>
  <si>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</si>
  <si>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</si>
  <si>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</si>
  <si>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</si>
  <si>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</si>
  <si>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</si>
  <si>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</si>
  <si>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</si>
  <si>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</si>
  <si>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</si>
  <si>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</si>
  <si>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</si>
  <si>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</si>
  <si>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</si>
  <si>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</si>
  <si>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</si>
  <si>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</si>
  <si>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</si>
  <si>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</si>
  <si>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</si>
  <si>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</si>
  <si>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</si>
  <si>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</si>
  <si>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</si>
  <si>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</si>
  <si>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</si>
  <si>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</si>
  <si>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</si>
  <si>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</si>
  <si>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</si>
  <si>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</si>
  <si>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</si>
  <si>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</si>
  <si>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</si>
  <si>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</si>
  <si>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</si>
  <si>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</si>
  <si>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</si>
  <si>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</si>
  <si>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</si>
  <si>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</si>
  <si>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</si>
  <si>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</si>
  <si>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</si>
  <si>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</si>
  <si>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</si>
  <si>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</si>
  <si>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</si>
  <si>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</si>
  <si>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</si>
  <si>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</si>
  <si>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</si>
  <si>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</si>
  <si>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</si>
  <si>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</si>
  <si>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</si>
  <si>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</si>
  <si>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</si>
  <si>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</si>
  <si>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</si>
  <si>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</si>
  <si>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</si>
  <si>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</si>
  <si>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</si>
  <si>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</si>
  <si>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</si>
  <si>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</si>
  <si>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</si>
  <si>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</si>
  <si>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</si>
  <si>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</si>
  <si>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</si>
  <si>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</si>
  <si>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</si>
  <si>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</si>
  <si>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</si>
  <si>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</si>
  <si>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</si>
  <si>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</si>
  <si>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</si>
  <si>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</si>
  <si>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</si>
  <si>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</si>
  <si>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</si>
  <si>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</si>
  <si>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</si>
  <si>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</si>
  <si>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</si>
  <si>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</si>
  <si>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</si>
  <si>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</si>
  <si>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</si>
  <si>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</si>
  <si>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</si>
  <si>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</si>
  <si>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</si>
  <si>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</si>
  <si>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</si>
  <si>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</si>
  <si>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</si>
  <si>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</si>
  <si>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</si>
  <si>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</si>
  <si>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</si>
  <si>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</si>
  <si>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</si>
  <si>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</si>
  <si>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</si>
  <si>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</si>
  <si>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</si>
  <si>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</si>
  <si>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</si>
  <si>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</si>
  <si>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</si>
  <si>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</si>
  <si>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</si>
  <si>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</si>
  <si>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</si>
  <si>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</si>
  <si>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</si>
  <si>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</si>
  <si>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</si>
  <si>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</si>
  <si>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</si>
  <si>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</si>
  <si>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</si>
  <si>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</si>
  <si>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</si>
  <si>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</si>
  <si>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</si>
  <si>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</si>
  <si>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</si>
  <si>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</si>
  <si>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</si>
  <si>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</si>
  <si>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</si>
  <si>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</si>
  <si>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</si>
  <si>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</si>
  <si>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</si>
  <si>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</si>
  <si>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</si>
  <si>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</si>
  <si>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</si>
  <si>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</si>
  <si>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</si>
  <si>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</si>
  <si>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</si>
  <si>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</si>
  <si>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</si>
  <si>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</si>
  <si>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</si>
  <si>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</si>
  <si>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</si>
  <si>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</si>
  <si>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</si>
  <si>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</si>
  <si>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</si>
  <si>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</si>
  <si>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</si>
  <si>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</si>
  <si>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</si>
  <si>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</si>
  <si>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</si>
  <si>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</si>
  <si>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</si>
  <si>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</si>
  <si>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</si>
  <si>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</si>
  <si>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</si>
  <si>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</si>
  <si>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</si>
  <si>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</si>
  <si>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</si>
  <si>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</si>
  <si>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</si>
  <si>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</si>
  <si>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</si>
  <si>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</si>
  <si>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</si>
  <si>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</si>
  <si>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</si>
  <si>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</si>
  <si>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</si>
  <si>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</si>
  <si>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</si>
  <si>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</si>
  <si>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</si>
  <si>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</si>
  <si>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</si>
  <si>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</si>
  <si>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</si>
  <si>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</si>
  <si>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</si>
  <si>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</si>
  <si>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</si>
  <si>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</si>
  <si>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</si>
  <si>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</si>
  <si>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</si>
  <si>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</si>
  <si>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</si>
  <si>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</si>
  <si>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</si>
  <si>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</si>
  <si>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</si>
  <si>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</si>
  <si>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</si>
  <si>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</si>
  <si>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</si>
  <si>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</si>
  <si>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</si>
  <si>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</si>
  <si>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</si>
  <si>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</si>
  <si>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</si>
  <si>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</si>
  <si>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</si>
  <si>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</si>
  <si>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</si>
  <si>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</si>
  <si>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</si>
  <si>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</si>
  <si>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</si>
  <si>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</si>
  <si>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</si>
  <si>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</si>
  <si>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</si>
  <si>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</si>
  <si>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</si>
  <si>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</si>
  <si>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</si>
  <si>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</si>
  <si>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</si>
  <si>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</si>
  <si>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</si>
  <si>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</si>
  <si>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</si>
  <si>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</si>
  <si>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</si>
  <si>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</si>
  <si>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</si>
  <si>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</si>
  <si>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</si>
  <si>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</si>
  <si>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</si>
  <si>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</si>
  <si>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</si>
  <si>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</si>
  <si>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</si>
  <si>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</si>
  <si>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</si>
  <si>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</si>
  <si>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</si>
  <si>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</si>
  <si>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</si>
  <si>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</si>
  <si>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</si>
  <si>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</si>
  <si>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</si>
  <si>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</si>
  <si>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</si>
  <si>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</si>
  <si>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</si>
  <si>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</si>
  <si>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</si>
  <si>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</si>
  <si>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</si>
  <si>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</si>
  <si>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</si>
  <si>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</si>
  <si>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</si>
  <si>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</si>
  <si>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</si>
  <si>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</si>
  <si>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</si>
  <si>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</si>
  <si>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</si>
  <si>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</si>
  <si>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</si>
  <si>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</si>
  <si>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</si>
  <si>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</si>
  <si>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</si>
  <si>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</si>
  <si>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</si>
  <si>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</si>
  <si>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</si>
  <si>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</si>
  <si>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</si>
  <si>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</si>
  <si>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</si>
  <si>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</si>
  <si>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</si>
  <si>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</si>
  <si>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</si>
  <si>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</si>
  <si>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</si>
  <si>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</si>
  <si>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</si>
  <si>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</si>
  <si>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</si>
  <si>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</si>
  <si>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</si>
  <si>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</si>
  <si>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</si>
  <si>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</si>
  <si>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</si>
  <si>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</si>
  <si>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</si>
  <si>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</si>
  <si>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</si>
  <si>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</si>
  <si>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</si>
  <si>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</si>
  <si>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</si>
  <si>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</si>
  <si>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</si>
  <si>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</si>
  <si>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</si>
  <si>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</si>
  <si>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</si>
  <si>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</si>
  <si>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</si>
  <si>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</si>
  <si>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</si>
  <si>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</si>
  <si>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</si>
  <si>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</si>
  <si>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</si>
  <si>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</si>
  <si>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</si>
  <si>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</si>
  <si>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</si>
  <si>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</si>
  <si>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</si>
  <si>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</si>
  <si>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</si>
  <si>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</si>
  <si>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</si>
  <si>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</si>
  <si>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</si>
  <si>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</si>
  <si>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</si>
  <si>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</si>
  <si>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</si>
  <si>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</si>
  <si>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</si>
  <si>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</si>
  <si>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</si>
  <si>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</si>
  <si>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</si>
  <si>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</si>
  <si>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</si>
  <si>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</si>
  <si>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</si>
  <si>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</si>
  <si>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</si>
  <si>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</si>
  <si>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</si>
  <si>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</si>
  <si>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</si>
  <si>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</si>
  <si>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</si>
  <si>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</si>
  <si>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</si>
  <si>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</si>
  <si>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</si>
  <si>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</si>
  <si>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</si>
  <si>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</si>
  <si>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</si>
  <si>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</si>
  <si>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</si>
  <si>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</si>
  <si>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</si>
  <si>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</si>
  <si>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</si>
  <si>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</si>
  <si>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</si>
  <si>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</si>
  <si>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</si>
  <si>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</si>
  <si>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</si>
  <si>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</si>
  <si>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</si>
  <si>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</si>
  <si>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</si>
  <si>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</si>
  <si>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</si>
  <si>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</si>
  <si>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</si>
  <si>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</si>
  <si>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</si>
  <si>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</si>
  <si>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</si>
  <si>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</si>
  <si>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</si>
  <si>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</si>
  <si>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</si>
  <si>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</si>
  <si>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</si>
  <si>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</si>
  <si>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</si>
  <si>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</si>
  <si>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</si>
  <si>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</si>
  <si>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</si>
  <si>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</si>
  <si>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</si>
  <si>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</si>
  <si>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</si>
  <si>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</si>
  <si>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</si>
  <si>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</si>
  <si>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</si>
  <si>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</si>
  <si>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</si>
  <si>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</si>
  <si>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</si>
  <si>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</si>
  <si>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</si>
  <si>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</si>
  <si>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</si>
  <si>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</si>
  <si>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</si>
  <si>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</si>
  <si>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</si>
  <si>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</si>
  <si>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</si>
  <si>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</si>
  <si>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</si>
  <si>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</si>
  <si>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</si>
  <si>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</si>
  <si>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</si>
  <si>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</si>
  <si>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</si>
  <si>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</si>
  <si>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</si>
  <si>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</si>
  <si>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</si>
  <si>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</si>
  <si>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</si>
  <si>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</si>
  <si>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</si>
  <si>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</si>
  <si>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</si>
  <si>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</si>
  <si>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</si>
  <si>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</si>
  <si>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</si>
  <si>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</si>
  <si>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</si>
  <si>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</si>
  <si>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</si>
  <si>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</si>
  <si>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</si>
  <si>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</si>
  <si>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</si>
  <si>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</si>
  <si>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</si>
  <si>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</si>
  <si>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</si>
  <si>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</si>
  <si>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</si>
  <si>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</si>
  <si>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</si>
  <si>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</si>
  <si>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</si>
  <si>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</si>
  <si>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</si>
  <si>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</si>
  <si>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</si>
  <si>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</si>
  <si>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</si>
  <si>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</si>
  <si>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</si>
  <si>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</si>
  <si>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</si>
  <si>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</si>
  <si>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</si>
  <si>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</si>
  <si>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</si>
  <si>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</si>
  <si>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</si>
  <si>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</si>
  <si>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</si>
  <si>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</si>
  <si>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</si>
  <si>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</si>
  <si>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</si>
  <si>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</si>
  <si>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</si>
  <si>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</si>
  <si>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</si>
  <si>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</si>
  <si>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</si>
  <si>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</si>
  <si>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</si>
  <si>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</si>
  <si>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</si>
  <si>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</si>
  <si>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</si>
  <si>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</si>
  <si>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</si>
  <si>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</si>
  <si>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</si>
  <si>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</si>
  <si>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</si>
  <si>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</si>
  <si>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</si>
  <si>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</si>
  <si>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</si>
  <si>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</si>
  <si>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</si>
  <si>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</si>
  <si>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</si>
  <si>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</si>
  <si>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</si>
  <si>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</si>
  <si>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</si>
  <si>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</si>
  <si>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</si>
  <si>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</si>
  <si>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</si>
  <si>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</si>
  <si>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</si>
  <si>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</si>
  <si>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</si>
  <si>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</si>
  <si>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</si>
  <si>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</si>
  <si>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</si>
  <si>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</si>
  <si>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</si>
  <si>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</si>
  <si>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</si>
  <si>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</si>
  <si>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</si>
  <si>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</si>
  <si>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</si>
  <si>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</si>
  <si>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</si>
  <si>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</si>
  <si>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</si>
  <si>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</si>
  <si>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</si>
  <si>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</si>
  <si>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</si>
  <si>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</si>
  <si>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</si>
  <si>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</si>
  <si>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</si>
  <si>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</si>
  <si>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</si>
  <si>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</si>
  <si>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</si>
  <si>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</si>
  <si>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</si>
  <si>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</si>
  <si>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</si>
  <si>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</si>
  <si>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</si>
  <si>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</si>
  <si>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</si>
  <si>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</si>
  <si>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</si>
  <si>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</si>
  <si>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</si>
  <si>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</si>
  <si>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</si>
  <si>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</si>
  <si>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</si>
  <si>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</si>
  <si>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</si>
  <si>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</si>
  <si>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</si>
  <si>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</si>
  <si>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</si>
  <si>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</si>
  <si>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</si>
  <si>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</si>
  <si>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</si>
  <si>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</si>
  <si>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</si>
  <si>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</si>
  <si>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</si>
  <si>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</si>
  <si>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</si>
  <si>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</si>
  <si>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</si>
  <si>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</si>
  <si>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</si>
  <si>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</si>
  <si>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</si>
  <si>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</si>
  <si>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</si>
  <si>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</si>
  <si>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</si>
  <si>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</si>
  <si>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</si>
  <si>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</si>
  <si>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</si>
  <si>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</si>
  <si>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</si>
  <si>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</si>
  <si>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</si>
  <si>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</si>
  <si>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</si>
  <si>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</si>
  <si>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</si>
  <si>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</si>
  <si>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</si>
  <si>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</si>
  <si>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</si>
  <si>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</si>
  <si>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</si>
  <si>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</si>
  <si>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</si>
  <si>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</si>
  <si>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</si>
  <si>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</si>
  <si>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</si>
  <si>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</si>
  <si>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</si>
  <si>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</si>
  <si>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</si>
  <si>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</si>
  <si>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</si>
  <si>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</si>
  <si>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</si>
  <si>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</si>
  <si>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</si>
  <si>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</si>
  <si>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</si>
  <si>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</si>
  <si>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</si>
  <si>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</si>
  <si>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</si>
  <si>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</si>
  <si>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</si>
  <si>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</si>
  <si>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</si>
  <si>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</si>
  <si>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</si>
  <si>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</si>
  <si>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</si>
  <si>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</si>
  <si>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</si>
  <si>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</si>
  <si>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</si>
  <si>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</si>
  <si>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</si>
  <si>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</si>
  <si>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</si>
  <si>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</si>
  <si>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</si>
  <si>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</si>
  <si>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</si>
  <si>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</si>
  <si>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</si>
  <si>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</si>
  <si>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</si>
  <si>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</si>
  <si>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</si>
  <si>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</si>
  <si>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</si>
  <si>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</si>
  <si>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</si>
  <si>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</si>
  <si>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</si>
  <si>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</si>
  <si>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</si>
  <si>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</si>
  <si>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</si>
  <si>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</si>
  <si>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</si>
  <si>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</si>
  <si>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</si>
  <si>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</si>
  <si>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</si>
  <si>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</si>
  <si>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</si>
  <si>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</si>
  <si>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</si>
  <si>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</si>
  <si>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</si>
  <si>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</si>
  <si>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</si>
  <si>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</si>
  <si>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</si>
  <si>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</si>
  <si>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</si>
  <si>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</si>
  <si>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</si>
  <si>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</si>
  <si>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</si>
  <si>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</si>
  <si>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</si>
  <si>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</si>
  <si>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</si>
  <si>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</si>
  <si>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</si>
  <si>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</si>
  <si>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</si>
  <si>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</si>
  <si>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</si>
  <si>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</si>
  <si>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</si>
  <si>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</si>
  <si>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</si>
  <si>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</si>
  <si>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</si>
  <si>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</si>
  <si>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</si>
  <si>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</si>
  <si>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</si>
  <si>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</si>
  <si>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</si>
  <si>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</si>
  <si>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</si>
  <si>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</si>
  <si>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</si>
  <si>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</si>
  <si>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</si>
  <si>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</si>
  <si>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</si>
  <si>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</si>
  <si>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</si>
  <si>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</si>
  <si>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</si>
  <si>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</si>
  <si>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</si>
  <si>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</si>
  <si>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</si>
  <si>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</si>
  <si>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</si>
  <si>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</si>
  <si>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</si>
  <si>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</si>
  <si>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</si>
  <si>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</si>
  <si>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</si>
  <si>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</si>
  <si>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</si>
  <si>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</si>
  <si>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</si>
  <si>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</si>
  <si>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</si>
  <si>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</si>
  <si>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</si>
  <si>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</si>
  <si>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</si>
  <si>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</si>
  <si>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</si>
  <si>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</si>
  <si>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</si>
  <si>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</si>
  <si>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</si>
  <si>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</si>
  <si>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</si>
  <si>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</si>
  <si>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</si>
  <si>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</si>
  <si>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</si>
  <si>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</si>
  <si>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</si>
  <si>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</si>
  <si>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</si>
  <si>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</si>
  <si>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</si>
  <si>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</si>
  <si>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</si>
  <si>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</si>
  <si>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</si>
  <si>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</si>
  <si>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</si>
  <si>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</si>
  <si>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</si>
  <si>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</si>
  <si>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</si>
  <si>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</si>
  <si>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</si>
  <si>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</si>
  <si>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</si>
  <si>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</si>
  <si>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</si>
  <si>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</si>
  <si>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</si>
  <si>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</si>
  <si>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</si>
  <si>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</si>
  <si>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</si>
  <si>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</si>
  <si>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</si>
  <si>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</si>
  <si>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</si>
  <si>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</si>
  <si>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</si>
  <si>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</si>
  <si>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</si>
  <si>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</si>
  <si>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</si>
  <si>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</si>
  <si>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</si>
  <si>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</si>
  <si>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</si>
  <si>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</si>
  <si>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</si>
  <si>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</si>
  <si>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</si>
  <si>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</si>
  <si>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</si>
  <si>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</si>
  <si>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</si>
  <si>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</si>
  <si>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</si>
  <si>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</si>
  <si>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</si>
  <si>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</si>
  <si>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</si>
  <si>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</si>
  <si>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</si>
  <si>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</si>
  <si>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</si>
  <si>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</si>
  <si>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</si>
  <si>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</si>
  <si>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</si>
  <si>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</si>
  <si>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</si>
  <si>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</si>
  <si>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</si>
  <si>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</si>
  <si>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</si>
  <si>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</si>
  <si>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</si>
  <si>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</si>
  <si>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</si>
  <si>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</si>
  <si>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</si>
  <si>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</si>
  <si>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</si>
  <si>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</si>
  <si>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</si>
  <si>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</si>
  <si>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</si>
  <si>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</si>
  <si>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</si>
  <si>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</si>
  <si>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</si>
  <si>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</si>
  <si>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</si>
  <si>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</si>
  <si>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</si>
  <si>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</si>
  <si>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</si>
  <si>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</si>
  <si>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</si>
  <si>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</si>
  <si>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</si>
  <si>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</si>
  <si>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</si>
  <si>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</si>
  <si>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</si>
  <si>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</si>
  <si>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</si>
  <si>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</si>
  <si>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</si>
  <si>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</si>
  <si>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</si>
  <si>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</si>
  <si>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</si>
  <si>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</si>
  <si>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</si>
  <si>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</si>
  <si>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</si>
  <si>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</si>
  <si>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</si>
  <si>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</si>
  <si>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</si>
  <si>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</si>
  <si>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</si>
  <si>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</si>
  <si>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</si>
  <si>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</si>
  <si>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</si>
  <si>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</si>
  <si>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</si>
  <si>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</si>
  <si>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</si>
  <si>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</si>
  <si>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</si>
  <si>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</si>
  <si>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</si>
  <si>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</si>
  <si>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</si>
  <si>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</si>
  <si>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</si>
  <si>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</si>
  <si>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</si>
  <si>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</si>
  <si>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</si>
  <si>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</si>
  <si>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</si>
  <si>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</si>
  <si>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</si>
  <si>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</si>
  <si>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</si>
  <si>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</si>
  <si>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</si>
  <si>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</si>
  <si>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</si>
  <si>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</si>
  <si>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</si>
  <si>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</si>
  <si>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</si>
  <si>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</si>
  <si>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</si>
  <si>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</si>
  <si>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</si>
  <si>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</si>
  <si>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</si>
  <si>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</si>
  <si>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</si>
  <si>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</si>
  <si>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</si>
  <si>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</si>
  <si>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</si>
  <si>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</si>
  <si>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</si>
  <si>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</si>
  <si>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</si>
  <si>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</si>
  <si>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</si>
  <si>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</si>
  <si>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</si>
  <si>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</si>
  <si>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</si>
  <si>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</si>
  <si>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</si>
  <si>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</si>
  <si>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</si>
  <si>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</si>
  <si>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</si>
  <si>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</si>
  <si>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</si>
  <si>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</si>
  <si>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</si>
  <si>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</si>
  <si>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</si>
  <si>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</si>
  <si>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</si>
  <si>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</si>
  <si>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</si>
  <si>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</si>
  <si>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</si>
  <si>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</si>
  <si>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</si>
  <si>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</si>
  <si>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</si>
  <si>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</si>
  <si>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</si>
  <si>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</si>
  <si>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</si>
  <si>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</si>
  <si>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</si>
  <si>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</si>
  <si>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</si>
  <si>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</si>
  <si>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</si>
  <si>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</si>
  <si>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</si>
  <si>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</si>
  <si>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</si>
  <si>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</si>
  <si>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</si>
  <si>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</si>
  <si>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</si>
  <si>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</si>
  <si>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</si>
  <si>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</si>
  <si>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</si>
  <si>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</si>
  <si>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</si>
  <si>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</si>
  <si>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</si>
  <si>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</si>
  <si>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</si>
  <si>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</si>
  <si>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</si>
  <si>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</si>
  <si>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</si>
  <si>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</si>
  <si>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</si>
  <si>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</si>
  <si>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</si>
  <si>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</si>
  <si>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</si>
  <si>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</si>
  <si>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</si>
  <si>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</si>
  <si>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</si>
  <si>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</si>
  <si>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</si>
  <si>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</si>
  <si>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</si>
  <si>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</si>
  <si>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</si>
  <si>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</si>
  <si>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</si>
  <si>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</si>
  <si>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</si>
  <si>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</si>
  <si>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</si>
  <si>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</si>
  <si>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</si>
  <si>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</si>
  <si>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</si>
  <si>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</si>
  <si>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</si>
  <si>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</si>
  <si>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</si>
  <si>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</si>
  <si>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</si>
  <si>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</si>
  <si>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</si>
  <si>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</si>
  <si>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</si>
  <si>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</si>
  <si>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</si>
  <si>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</si>
  <si>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</si>
  <si>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</si>
  <si>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</si>
  <si>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</si>
  <si>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</si>
  <si>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</si>
  <si>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</si>
  <si>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</si>
  <si>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</si>
  <si>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</si>
  <si>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</si>
  <si>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</si>
  <si>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</si>
  <si>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</si>
  <si>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</si>
  <si>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</si>
  <si>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</si>
  <si>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</si>
  <si>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</si>
  <si>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</si>
  <si>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</si>
  <si>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</si>
  <si>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</si>
  <si>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</si>
  <si>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</si>
  <si>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</si>
  <si>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</si>
  <si>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</si>
  <si>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</si>
  <si>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</si>
  <si>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</si>
  <si>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</si>
  <si>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</si>
  <si>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</si>
  <si>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</si>
  <si>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</si>
  <si>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</si>
  <si>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</si>
  <si>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</si>
  <si>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</si>
  <si>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</si>
  <si>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</si>
  <si>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</si>
  <si>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</si>
  <si>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</si>
  <si>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</si>
  <si>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</si>
  <si>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</si>
  <si>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</si>
  <si>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</si>
  <si>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</si>
  <si>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</si>
  <si>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</si>
  <si>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</si>
  <si>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</si>
  <si>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</si>
  <si>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</si>
  <si>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</si>
  <si>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</si>
  <si>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</si>
  <si>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</si>
  <si>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</si>
  <si>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</si>
  <si>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</si>
  <si>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</si>
  <si>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</si>
  <si>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</si>
  <si>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</si>
  <si>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</si>
  <si>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</si>
  <si>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</si>
  <si>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</si>
  <si>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</si>
  <si>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</si>
  <si>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</si>
  <si>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</si>
  <si>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</si>
  <si>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</si>
  <si>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</si>
  <si>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</si>
  <si>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</si>
  <si>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</si>
  <si>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</si>
  <si>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</si>
  <si>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</si>
  <si>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</si>
  <si>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</si>
  <si>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</si>
  <si>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</si>
  <si>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</si>
  <si>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</si>
  <si>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</si>
  <si>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</si>
  <si>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</si>
  <si>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</si>
  <si>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</si>
  <si>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</si>
  <si>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</si>
  <si>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</si>
  <si>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</si>
  <si>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</si>
  <si>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</si>
  <si>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</si>
  <si>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</si>
  <si>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</si>
  <si>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</si>
  <si>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</si>
  <si>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</si>
  <si>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</si>
  <si>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</si>
  <si>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</si>
  <si>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</si>
  <si>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</si>
  <si>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</si>
  <si>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</si>
  <si>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</si>
  <si>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</si>
  <si>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</si>
  <si>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</si>
  <si>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</si>
  <si>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</si>
  <si>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</si>
  <si>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</si>
  <si>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</si>
  <si>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</si>
  <si>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</si>
  <si>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</si>
  <si>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</si>
  <si>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</si>
  <si>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</si>
  <si>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</si>
  <si>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</si>
  <si>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</si>
  <si>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</si>
  <si>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</si>
  <si>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</si>
  <si>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</si>
  <si>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</si>
  <si>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</si>
  <si>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</si>
  <si>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</si>
  <si>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</si>
  <si>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</si>
  <si>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</si>
  <si>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</si>
  <si>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</si>
  <si>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</si>
  <si>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</si>
  <si>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</si>
  <si>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</si>
  <si>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</si>
  <si>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</si>
  <si>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</si>
  <si>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</si>
  <si>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</si>
  <si>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</si>
  <si>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</si>
  <si>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</si>
  <si>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</si>
  <si>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</si>
  <si>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</si>
  <si>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</si>
  <si>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</si>
  <si>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</si>
  <si>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</si>
  <si>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</si>
  <si>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</si>
  <si>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</si>
  <si>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</si>
  <si>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</si>
  <si>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</si>
  <si>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</si>
  <si>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</si>
  <si>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</si>
  <si>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</si>
  <si>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</si>
  <si>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</si>
  <si>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</si>
  <si>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</si>
  <si>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</si>
  <si>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</si>
  <si>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</si>
  <si>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</si>
  <si>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</si>
  <si>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</si>
  <si>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</si>
  <si>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</si>
  <si>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</si>
  <si>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</si>
  <si>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</si>
  <si>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</si>
  <si>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</si>
  <si>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</si>
  <si>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</si>
  <si>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</si>
  <si>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</si>
  <si>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</si>
  <si>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</si>
  <si>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</si>
  <si>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</si>
  <si>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</si>
  <si>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</si>
  <si>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</si>
  <si>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</si>
  <si>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</si>
  <si>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</si>
  <si>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</si>
  <si>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</si>
  <si>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</si>
  <si>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</si>
  <si>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</si>
  <si>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</si>
  <si>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</si>
  <si>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</si>
  <si>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</si>
  <si>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</si>
  <si>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</si>
  <si>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</si>
  <si>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</si>
  <si>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</si>
  <si>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</si>
  <si>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</si>
  <si>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</si>
  <si>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</si>
  <si>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</si>
  <si>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</si>
  <si>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</si>
  <si>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</si>
  <si>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</si>
  <si>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</si>
  <si>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</si>
  <si>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</si>
  <si>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</si>
  <si>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</si>
  <si>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</si>
  <si>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</si>
  <si>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</si>
  <si>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</si>
  <si>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</si>
  <si>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</si>
  <si>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</si>
  <si>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</si>
  <si>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</si>
  <si>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</si>
  <si>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</si>
  <si>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</si>
  <si>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</si>
  <si>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</si>
  <si>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</si>
  <si>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</si>
  <si>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</si>
  <si>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</si>
  <si>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</si>
  <si>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</si>
  <si>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</si>
  <si>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</si>
  <si>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</si>
  <si>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</si>
  <si>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</si>
  <si>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</si>
  <si>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</si>
  <si>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</si>
  <si>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</si>
  <si>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</si>
  <si>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</si>
  <si>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</si>
  <si>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</si>
  <si>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</si>
  <si>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</si>
  <si>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</si>
  <si>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</si>
  <si>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</si>
  <si>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</si>
  <si>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</si>
  <si>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</si>
  <si>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</si>
  <si>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</si>
  <si>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</si>
  <si>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</si>
  <si>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</si>
  <si>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</si>
  <si>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</si>
  <si>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</si>
  <si>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</si>
  <si>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</si>
  <si>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</si>
  <si>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</si>
  <si>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</si>
  <si>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</si>
  <si>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</si>
  <si>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</si>
  <si>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</si>
  <si>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</si>
  <si>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</si>
  <si>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</si>
  <si>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</si>
  <si>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</si>
  <si>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</si>
  <si>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</si>
  <si>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</si>
  <si>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</si>
  <si>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</si>
  <si>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</si>
  <si>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</si>
  <si>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</si>
  <si>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</si>
  <si>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</si>
  <si>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</si>
  <si>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</si>
  <si>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</si>
  <si>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</si>
  <si>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</si>
  <si>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</si>
  <si>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</si>
  <si>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</si>
  <si>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</si>
  <si>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</si>
  <si>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</si>
  <si>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</si>
  <si>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</si>
  <si>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</si>
  <si>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</si>
  <si>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</si>
  <si>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</si>
  <si>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</si>
  <si>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</si>
  <si>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</si>
  <si>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</si>
  <si>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</si>
  <si>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</si>
  <si>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</si>
  <si>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</si>
  <si>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</si>
  <si>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</si>
  <si>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</si>
  <si>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</si>
  <si>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</si>
  <si>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</si>
  <si>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</si>
  <si>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</si>
  <si>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</si>
  <si>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</si>
  <si>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</si>
  <si>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</si>
  <si>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</si>
  <si>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</si>
  <si>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</si>
  <si>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</si>
  <si>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</si>
  <si>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</si>
  <si>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</si>
  <si>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</si>
  <si>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</si>
  <si>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</si>
  <si>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</si>
  <si>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</si>
  <si>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</si>
  <si>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</si>
  <si>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</si>
  <si>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</si>
  <si>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</si>
  <si>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</si>
  <si>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</si>
  <si>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</si>
  <si>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</si>
  <si>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</si>
  <si>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</si>
  <si>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</si>
  <si>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</si>
  <si>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</si>
  <si>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</si>
  <si>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</si>
  <si>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</si>
  <si>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</si>
  <si>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</si>
  <si>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</si>
  <si>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</si>
  <si>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</si>
  <si>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</si>
  <si>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</si>
  <si>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</si>
  <si>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</si>
  <si>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</si>
  <si>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</si>
  <si>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</si>
  <si>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</si>
  <si>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</si>
  <si>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</si>
  <si>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</si>
  <si>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</si>
  <si>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</si>
  <si>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</si>
  <si>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</si>
  <si>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</si>
  <si>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</si>
  <si>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</si>
  <si>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</si>
  <si>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</si>
  <si>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</si>
  <si>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</si>
  <si>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</si>
  <si>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</si>
  <si>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</si>
  <si>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</si>
  <si>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</si>
  <si>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</si>
  <si>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</si>
  <si>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</si>
  <si>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</si>
  <si>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</si>
  <si>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</si>
  <si>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</si>
  <si>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</si>
  <si>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</si>
  <si>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</si>
  <si>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</si>
  <si>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</si>
  <si>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</si>
  <si>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</si>
  <si>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</si>
  <si>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</si>
  <si>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</si>
  <si>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</si>
  <si>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</si>
  <si>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</si>
  <si>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</si>
  <si>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</si>
  <si>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</si>
  <si>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</si>
  <si>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</si>
  <si>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</si>
  <si>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</si>
  <si>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</si>
  <si>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</si>
  <si>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</si>
  <si>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</si>
  <si>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</si>
  <si>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</si>
  <si>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</si>
  <si>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</si>
  <si>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</si>
  <si>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</si>
  <si>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</si>
  <si>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</si>
  <si>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</si>
  <si>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</si>
  <si>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</si>
  <si>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</si>
  <si>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</si>
  <si>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</si>
  <si>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</si>
  <si>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</si>
  <si>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</si>
  <si>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</si>
  <si>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</si>
  <si>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</si>
  <si>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</si>
  <si>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</si>
  <si>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</si>
  <si>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</si>
  <si>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</si>
  <si>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</si>
  <si>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</si>
  <si>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</si>
  <si>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</si>
  <si>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</si>
  <si>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</si>
  <si>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</si>
  <si>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</si>
  <si>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</si>
  <si>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</si>
  <si>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</si>
  <si>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</si>
  <si>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</si>
  <si>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</si>
  <si>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</si>
  <si>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</si>
  <si>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</si>
  <si>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</si>
  <si>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</si>
  <si>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</si>
  <si>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</si>
  <si>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</si>
  <si>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</si>
  <si>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</si>
  <si>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</si>
  <si>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</si>
  <si>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</si>
  <si>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</si>
  <si>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</si>
  <si>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</si>
  <si>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</si>
  <si>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</si>
  <si>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</si>
  <si>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</si>
  <si>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</si>
  <si>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</si>
  <si>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</si>
  <si>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</si>
  <si>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</si>
  <si>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</si>
  <si>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</si>
  <si>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</si>
  <si>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</si>
  <si>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</si>
  <si>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</si>
  <si>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</si>
  <si>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</si>
  <si>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</si>
  <si>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</si>
  <si>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</si>
  <si>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</si>
  <si>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</si>
  <si>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</si>
  <si>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</si>
  <si>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</si>
  <si>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</si>
  <si>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</si>
  <si>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</si>
  <si>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</si>
  <si>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</si>
  <si>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</si>
  <si>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</si>
  <si>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</si>
  <si>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</si>
  <si>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</si>
  <si>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</si>
  <si>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</si>
  <si>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</si>
  <si>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</si>
  <si>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</si>
  <si>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</si>
  <si>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</si>
  <si>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</si>
  <si>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</si>
  <si>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</si>
  <si>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</si>
  <si>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</si>
  <si>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</si>
  <si>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</si>
  <si>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</si>
  <si>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</si>
  <si>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</si>
  <si>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</si>
  <si>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</si>
  <si>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</si>
  <si>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</si>
  <si>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</si>
  <si>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</si>
  <si>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</si>
  <si>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</si>
  <si>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</si>
  <si>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</si>
  <si>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</si>
  <si>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</si>
  <si>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</si>
  <si>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</si>
  <si>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</si>
  <si>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</si>
  <si>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</si>
  <si>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</si>
  <si>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</si>
  <si>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</si>
  <si>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</si>
  <si>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</si>
  <si>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</si>
  <si>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</si>
  <si>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</si>
  <si>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</si>
  <si>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</si>
  <si>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</si>
  <si>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</si>
  <si>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</si>
  <si>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</si>
  <si>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</si>
  <si>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</si>
  <si>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</si>
  <si>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</si>
  <si>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</si>
  <si>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</si>
  <si>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</si>
  <si>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</si>
  <si>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</si>
  <si>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</si>
  <si>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</si>
  <si>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</si>
  <si>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</si>
  <si>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</si>
  <si>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</si>
  <si>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</si>
  <si>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</si>
  <si>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</si>
  <si>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</si>
  <si>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</si>
  <si>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</si>
  <si>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</si>
  <si>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</si>
  <si>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</si>
  <si>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</si>
  <si>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</si>
  <si>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</si>
  <si>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</si>
  <si>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</si>
  <si>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</si>
  <si>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</si>
  <si>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</si>
  <si>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</si>
  <si>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</si>
  <si>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</si>
  <si>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</si>
  <si>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</si>
  <si>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</si>
  <si>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</si>
  <si>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</si>
  <si>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</si>
  <si>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</si>
  <si>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</si>
  <si>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</si>
  <si>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</si>
  <si>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</si>
  <si>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</si>
  <si>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</si>
  <si>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</si>
  <si>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</si>
  <si>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</si>
  <si>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</si>
  <si>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</si>
  <si>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</si>
  <si>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</si>
  <si>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</si>
  <si>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</si>
  <si>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</si>
  <si>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</si>
  <si>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</si>
  <si>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</si>
  <si>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</si>
  <si>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</si>
  <si>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</si>
  <si>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</si>
  <si>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</si>
  <si>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</si>
  <si>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</si>
  <si>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</si>
  <si>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</si>
  <si>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</si>
  <si>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</si>
  <si>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</si>
  <si>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</si>
  <si>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</si>
  <si>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</si>
  <si>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</si>
  <si>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</si>
  <si>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</si>
  <si>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</si>
  <si>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</si>
  <si>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</si>
  <si>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</si>
  <si>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</si>
  <si>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</si>
  <si>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</si>
  <si>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</si>
  <si>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</si>
  <si>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</si>
  <si>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</si>
  <si>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</si>
  <si>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</si>
  <si>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</si>
  <si>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</si>
  <si>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</si>
  <si>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</si>
  <si>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</si>
  <si>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</si>
  <si>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</si>
  <si>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</si>
  <si>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</si>
  <si>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</si>
  <si>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</si>
  <si>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</si>
  <si>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</si>
  <si>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</si>
  <si>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</si>
  <si>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</si>
  <si>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</si>
  <si>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</si>
  <si>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</si>
  <si>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</si>
  <si>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</si>
  <si>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</si>
  <si>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</si>
  <si>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</si>
  <si>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</si>
  <si>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</si>
  <si>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</si>
  <si>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</si>
  <si>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</si>
  <si>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</si>
  <si>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</si>
  <si>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</si>
  <si>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</si>
  <si>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</si>
  <si>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</si>
  <si>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</si>
  <si>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</si>
  <si>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</si>
  <si>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</si>
  <si>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</si>
  <si>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</si>
  <si>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</si>
  <si>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</si>
  <si>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</si>
  <si>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</si>
  <si>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</si>
  <si>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</si>
  <si>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</si>
  <si>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</si>
  <si>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</si>
  <si>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</si>
  <si>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</si>
  <si>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</si>
  <si>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</si>
  <si>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</si>
  <si>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</si>
  <si>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</si>
  <si>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</si>
  <si>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</si>
  <si>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</si>
  <si>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</si>
  <si>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</si>
  <si>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</si>
  <si>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</si>
  <si>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</si>
  <si>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</si>
  <si>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</si>
  <si>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</si>
  <si>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</si>
  <si>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</si>
  <si>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</si>
  <si>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</si>
  <si>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</si>
  <si>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</si>
  <si>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</si>
  <si>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</si>
  <si>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</si>
  <si>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</si>
  <si>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</si>
  <si>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</si>
  <si>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</si>
  <si>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</si>
  <si>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</si>
  <si>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</si>
  <si>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</si>
  <si>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</si>
  <si>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</si>
  <si>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</si>
  <si>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</si>
  <si>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</si>
  <si>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</si>
  <si>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</si>
  <si>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</si>
  <si>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</si>
  <si>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</si>
  <si>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</si>
  <si>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</si>
  <si>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</si>
  <si>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</si>
  <si>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</si>
  <si>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</si>
  <si>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</si>
  <si>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</si>
  <si>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</si>
  <si>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</si>
  <si>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</si>
  <si>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</si>
  <si>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</si>
  <si>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</si>
  <si>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</si>
  <si>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</si>
  <si>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</si>
  <si>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</si>
  <si>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</si>
  <si>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</si>
  <si>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</si>
  <si>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</si>
  <si>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</si>
  <si>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</si>
  <si>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</si>
  <si>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</si>
  <si>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</si>
  <si>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</si>
  <si>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</si>
  <si>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</si>
  <si>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</si>
  <si>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</si>
  <si>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</si>
  <si>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</si>
  <si>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</si>
  <si>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</si>
  <si>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</si>
  <si>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</si>
  <si>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</si>
  <si>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</si>
  <si>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</si>
  <si>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</si>
  <si>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</si>
  <si>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</si>
  <si>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</si>
  <si>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</si>
  <si>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</si>
  <si>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</si>
  <si>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</si>
  <si>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</si>
  <si>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</si>
  <si>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</si>
  <si>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</si>
  <si>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</si>
  <si>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</si>
  <si>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</si>
  <si>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</si>
  <si>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</si>
  <si>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</si>
  <si>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</si>
  <si>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</si>
  <si>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</si>
  <si>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</si>
  <si>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</si>
  <si>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</si>
  <si>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</si>
  <si>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</si>
  <si>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</si>
  <si>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</si>
  <si>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</si>
  <si>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</si>
  <si>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</si>
  <si>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</si>
  <si>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</si>
  <si>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</si>
  <si>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</si>
  <si>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</si>
  <si>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</si>
  <si>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</si>
  <si>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</si>
  <si>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</si>
  <si>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</si>
  <si>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</si>
  <si>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</si>
  <si>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</si>
  <si>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</si>
  <si>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</si>
  <si>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</si>
  <si>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</si>
  <si>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</si>
  <si>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</si>
  <si>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</si>
  <si>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</si>
  <si>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</si>
  <si>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</si>
  <si>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</si>
  <si>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</si>
  <si>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</si>
  <si>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</si>
  <si>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</si>
  <si>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</si>
  <si>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</si>
  <si>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</si>
  <si>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</si>
  <si>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</si>
  <si>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</si>
  <si>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</si>
  <si>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</si>
  <si>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</si>
  <si>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</si>
  <si>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</si>
  <si>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</si>
  <si>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</si>
  <si>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</si>
  <si>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</si>
  <si>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</si>
  <si>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</si>
  <si>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</si>
  <si>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</si>
  <si>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</si>
  <si>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</si>
  <si>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</si>
  <si>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</si>
  <si>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</si>
  <si>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</si>
  <si>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</si>
  <si>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</si>
  <si>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</si>
  <si>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</si>
  <si>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</si>
  <si>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</si>
  <si>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</si>
  <si>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</si>
  <si>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</si>
  <si>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</si>
  <si>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</si>
  <si>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</si>
  <si>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</si>
  <si>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</si>
  <si>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</si>
  <si>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</si>
  <si>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</si>
  <si>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</si>
  <si>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</si>
  <si>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</si>
  <si>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</si>
  <si>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</si>
  <si>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</si>
  <si>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</si>
  <si>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</si>
  <si>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</si>
  <si>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</si>
  <si>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</si>
  <si>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</si>
  <si>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</si>
  <si>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</si>
  <si>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</si>
  <si>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</si>
  <si>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</si>
  <si>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</si>
  <si>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</si>
  <si>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</si>
  <si>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</si>
  <si>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</si>
  <si>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</si>
  <si>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</si>
  <si>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</si>
  <si>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</si>
  <si>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</si>
  <si>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</si>
  <si>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</si>
  <si>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</si>
  <si>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</si>
  <si>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</si>
  <si>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</si>
  <si>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</si>
  <si>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</si>
  <si>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</si>
  <si>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</si>
  <si>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</si>
  <si>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</si>
  <si>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</si>
  <si>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</si>
  <si>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</si>
  <si>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</si>
  <si>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</si>
  <si>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</si>
  <si>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</si>
  <si>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</si>
  <si>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</si>
  <si>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</si>
  <si>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</si>
  <si>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</si>
  <si>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</si>
  <si>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</si>
  <si>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</si>
  <si>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</si>
  <si>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</si>
  <si>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</si>
  <si>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</si>
  <si>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</si>
  <si>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</si>
  <si>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</si>
  <si>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</si>
  <si>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</si>
  <si>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</si>
  <si>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</si>
  <si>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</si>
  <si>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</si>
  <si>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</si>
  <si>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</si>
  <si>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</si>
  <si>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</si>
  <si>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</si>
  <si>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</si>
  <si>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</si>
  <si>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</si>
  <si>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</si>
  <si>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</si>
  <si>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</si>
  <si>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</si>
  <si>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</si>
  <si>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</si>
  <si>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</si>
  <si>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</si>
  <si>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</si>
  <si>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</si>
  <si>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</si>
  <si>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</si>
  <si>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</si>
  <si>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</si>
  <si>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</si>
  <si>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</si>
  <si>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</si>
  <si>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</si>
  <si>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</si>
  <si>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</si>
  <si>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</si>
  <si>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</si>
  <si>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</si>
  <si>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</si>
  <si>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</si>
  <si>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</si>
  <si>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</si>
  <si>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</si>
  <si>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</si>
  <si>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</si>
  <si>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</si>
  <si>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</si>
  <si>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</si>
  <si>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</si>
  <si>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</si>
  <si>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</si>
  <si>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</si>
  <si>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</si>
  <si>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</si>
  <si>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</si>
  <si>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</si>
  <si>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</si>
  <si>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</si>
  <si>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</si>
  <si>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</si>
  <si>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</si>
  <si>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</si>
  <si>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</si>
  <si>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</si>
  <si>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</si>
  <si>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</si>
  <si>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</si>
  <si>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</si>
  <si>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</si>
  <si>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</si>
  <si>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</si>
  <si>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</si>
  <si>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</si>
  <si>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</si>
  <si>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</si>
  <si>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</si>
  <si>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</si>
  <si>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</si>
  <si>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</si>
  <si>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</si>
  <si>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</si>
  <si>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</si>
  <si>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</si>
  <si>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</si>
  <si>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</si>
  <si>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</si>
  <si>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</si>
  <si>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</si>
  <si>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</si>
  <si>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</si>
  <si>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</si>
  <si>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</si>
  <si>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</si>
  <si>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</si>
  <si>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</si>
  <si>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</si>
  <si>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</si>
  <si>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</si>
  <si>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</si>
  <si>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</si>
  <si>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</si>
  <si>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</si>
  <si>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</si>
  <si>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</si>
  <si>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</si>
  <si>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</si>
  <si>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</si>
  <si>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</si>
  <si>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</si>
  <si>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</si>
  <si>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</si>
  <si>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</si>
  <si>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</si>
  <si>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</si>
  <si>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</si>
  <si>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</si>
  <si>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</si>
  <si>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</si>
  <si>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</si>
  <si>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</si>
  <si>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</si>
  <si>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</si>
  <si>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</si>
  <si>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</si>
  <si>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</si>
  <si>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</si>
  <si>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</si>
  <si>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</si>
  <si>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</si>
  <si>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</si>
  <si>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</si>
  <si>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</si>
  <si>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</si>
  <si>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</si>
  <si>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</si>
  <si>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</si>
  <si>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</si>
  <si>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</si>
  <si>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</si>
  <si>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</si>
  <si>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</si>
  <si>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</si>
  <si>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</si>
  <si>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</si>
  <si>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</si>
  <si>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</si>
  <si>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</si>
  <si>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</si>
  <si>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</si>
  <si>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</si>
  <si>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</si>
  <si>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</si>
  <si>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</si>
  <si>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</si>
  <si>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</si>
  <si>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</si>
  <si>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</si>
  <si>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</si>
  <si>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</si>
  <si>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</si>
  <si>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</si>
  <si>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</si>
  <si>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</si>
  <si>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</si>
  <si>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</si>
  <si>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</si>
  <si>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</si>
  <si>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</si>
  <si>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</si>
  <si>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</si>
  <si>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</si>
  <si>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</si>
  <si>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</si>
  <si>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</si>
  <si>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</si>
  <si>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</si>
  <si>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</si>
  <si>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</si>
  <si>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</si>
  <si>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</si>
  <si>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</si>
  <si>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</si>
  <si>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</si>
  <si>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</si>
  <si>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</si>
  <si>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</si>
  <si>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</si>
  <si>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</si>
  <si>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</si>
  <si>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</si>
  <si>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</si>
  <si>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</si>
  <si>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</si>
  <si>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</si>
  <si>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</si>
  <si>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</si>
  <si>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</si>
  <si>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</si>
  <si>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</si>
  <si>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</si>
  <si>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</si>
  <si>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</si>
  <si>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</si>
  <si>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</si>
  <si>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</si>
  <si>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</si>
  <si>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</si>
  <si>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</si>
  <si>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</si>
  <si>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</si>
  <si>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</si>
  <si>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</si>
  <si>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</si>
  <si>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</si>
  <si>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</si>
  <si>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</si>
  <si>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</si>
  <si>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</si>
  <si>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</si>
  <si>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</si>
  <si>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</si>
  <si>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</si>
  <si>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</si>
  <si>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</si>
  <si>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</si>
  <si>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</si>
  <si>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</si>
  <si>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</si>
  <si>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</si>
  <si>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</si>
  <si>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</si>
  <si>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</si>
  <si>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</si>
  <si>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</si>
  <si>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</si>
  <si>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</si>
  <si>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</si>
  <si>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</si>
  <si>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</si>
  <si>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</si>
  <si>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</si>
  <si>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</si>
  <si>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</si>
  <si>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</si>
  <si>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</si>
  <si>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</si>
  <si>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</si>
  <si>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</si>
  <si>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</si>
  <si>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</si>
  <si>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</si>
  <si>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</si>
  <si>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</si>
  <si>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</si>
  <si>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</si>
  <si>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</si>
  <si>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</si>
  <si>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</si>
  <si>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</si>
  <si>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</si>
  <si>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</si>
  <si>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</si>
  <si>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</si>
  <si>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</si>
  <si>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</si>
  <si>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</si>
  <si>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</si>
  <si>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</si>
  <si>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</si>
  <si>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</si>
  <si>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</si>
  <si>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</si>
  <si>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</si>
  <si>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</si>
  <si>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</si>
  <si>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</si>
  <si>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</si>
  <si>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</si>
  <si>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</si>
  <si>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</si>
  <si>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</si>
  <si>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</si>
  <si>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</si>
  <si>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</si>
  <si>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</si>
  <si>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</si>
  <si>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</si>
  <si>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</si>
  <si>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</si>
  <si>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</si>
  <si>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</si>
  <si>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</si>
  <si>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</si>
  <si>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</si>
  <si>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</si>
  <si>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</si>
  <si>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</si>
  <si>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</si>
  <si>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</si>
  <si>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</si>
  <si>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</si>
  <si>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</si>
  <si>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</si>
  <si>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</si>
  <si>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</si>
  <si>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</si>
  <si>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</si>
  <si>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</si>
  <si>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</si>
  <si>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</si>
  <si>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</si>
  <si>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</si>
  <si>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</si>
  <si>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</si>
  <si>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</si>
  <si>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</si>
  <si>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</si>
  <si>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</si>
  <si>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</si>
  <si>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</si>
  <si>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</si>
  <si>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</si>
  <si>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</si>
  <si>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</si>
  <si>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</si>
  <si>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</si>
  <si>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</si>
  <si>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</si>
  <si>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</si>
  <si>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</si>
  <si>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</si>
  <si>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</si>
  <si>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</si>
  <si>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</si>
  <si>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</si>
  <si>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</si>
  <si>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</si>
  <si>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</si>
  <si>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</si>
  <si>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</si>
  <si>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</si>
  <si>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</si>
  <si>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</si>
  <si>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</si>
  <si>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</si>
  <si>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</si>
  <si>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</si>
  <si>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</si>
  <si>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</si>
  <si>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</si>
  <si>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</si>
  <si>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</si>
  <si>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</si>
  <si>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</si>
  <si>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</si>
  <si>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</si>
  <si>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</si>
  <si>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</si>
  <si>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</si>
  <si>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</si>
  <si>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</si>
  <si>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</si>
  <si>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</si>
  <si>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</si>
  <si>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</si>
  <si>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</si>
  <si>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</si>
  <si>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</si>
  <si>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</si>
  <si>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</si>
  <si>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</si>
  <si>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</si>
  <si>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</si>
  <si>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</si>
  <si>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</si>
  <si>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</si>
  <si>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</si>
  <si>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</si>
  <si>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</si>
  <si>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</si>
  <si>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</si>
  <si>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</si>
  <si>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</si>
  <si>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</si>
  <si>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</si>
  <si>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</si>
  <si>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</si>
  <si>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</si>
  <si>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</si>
  <si>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</si>
  <si>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</si>
  <si>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</si>
  <si>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</si>
  <si>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</si>
  <si>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</si>
  <si>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</si>
  <si>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</si>
  <si>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</si>
  <si>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</si>
  <si>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</si>
  <si>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</si>
  <si>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</si>
  <si>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</si>
  <si>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</si>
  <si>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</si>
  <si>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</si>
  <si>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</si>
  <si>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</si>
  <si>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</si>
  <si>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</si>
  <si>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</si>
  <si>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</si>
  <si>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</si>
  <si>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</si>
  <si>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</si>
  <si>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</si>
  <si>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</si>
  <si>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</si>
  <si>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</si>
  <si>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</si>
  <si>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</si>
  <si>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</si>
  <si>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</si>
  <si>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</si>
  <si>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</si>
  <si>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</si>
  <si>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</si>
  <si>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</si>
  <si>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</si>
  <si>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</si>
  <si>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</si>
  <si>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</si>
  <si>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</si>
  <si>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</si>
  <si>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</si>
  <si>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</si>
  <si>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</si>
  <si>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</si>
  <si>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</si>
  <si>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</si>
  <si>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</si>
  <si>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</si>
  <si>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</si>
  <si>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</si>
  <si>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</si>
  <si>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</si>
  <si>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</si>
  <si>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</si>
  <si>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</si>
  <si>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</si>
  <si>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</si>
  <si>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</si>
  <si>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</si>
  <si>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</si>
  <si>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</si>
  <si>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</si>
  <si>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</si>
  <si>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</si>
  <si>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</si>
  <si>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</si>
  <si>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</si>
  <si>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</si>
  <si>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</si>
  <si>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</si>
  <si>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</si>
  <si>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</si>
  <si>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</si>
  <si>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</si>
  <si>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</si>
  <si>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</si>
  <si>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</si>
  <si>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</si>
  <si>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</si>
  <si>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</si>
  <si>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</si>
  <si>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</si>
  <si>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</si>
  <si>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</si>
  <si>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</si>
  <si>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</si>
  <si>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</si>
  <si>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</si>
  <si>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</si>
  <si>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</si>
  <si>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</si>
  <si>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</si>
  <si>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</si>
  <si>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</si>
  <si>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</si>
  <si>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</si>
  <si>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</si>
  <si>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</si>
  <si>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</si>
  <si>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</si>
  <si>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</si>
  <si>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</si>
  <si>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</si>
  <si>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</si>
  <si>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</si>
  <si>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</si>
  <si>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</si>
  <si>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</si>
  <si>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</si>
  <si>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</si>
  <si>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</si>
  <si>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</si>
  <si>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</si>
  <si>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</si>
  <si>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</si>
  <si>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</si>
  <si>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</si>
  <si>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</si>
  <si>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</si>
  <si>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</si>
  <si>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</si>
  <si>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</si>
  <si>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</si>
  <si>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</si>
  <si>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</si>
  <si>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</si>
  <si>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</si>
  <si>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</si>
  <si>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</si>
  <si>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</si>
  <si>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</si>
  <si>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</si>
  <si>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</si>
  <si>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</si>
  <si>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</si>
  <si>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</si>
  <si>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</si>
  <si>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</si>
  <si>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</si>
  <si>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</si>
  <si>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</si>
  <si>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</si>
  <si>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</si>
  <si>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</si>
  <si>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</si>
  <si>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</si>
  <si>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</si>
  <si>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</si>
  <si>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</si>
  <si>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</si>
  <si>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</si>
  <si>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</si>
  <si>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</si>
  <si>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</si>
  <si>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</si>
  <si>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</si>
  <si>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</si>
  <si>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</si>
  <si>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</si>
  <si>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</si>
  <si>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</si>
  <si>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</si>
  <si>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</si>
  <si>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</si>
  <si>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</si>
  <si>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</si>
  <si>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</si>
  <si>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</si>
  <si>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</si>
  <si>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</si>
  <si>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</si>
  <si>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</si>
  <si>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</si>
  <si>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</si>
  <si>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</si>
  <si>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</si>
  <si>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</si>
  <si>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</si>
  <si>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</si>
  <si>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</si>
  <si>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</si>
  <si>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</si>
  <si>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</si>
  <si>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</si>
  <si>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</si>
  <si>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</si>
  <si>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</si>
  <si>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</si>
  <si>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</si>
  <si>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</si>
  <si>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</si>
  <si>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</si>
  <si>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</si>
  <si>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</si>
  <si>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</si>
  <si>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</si>
  <si>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</si>
  <si>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</si>
  <si>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</si>
  <si>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</si>
  <si>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</si>
  <si>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</si>
  <si>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</si>
  <si>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</si>
  <si>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</si>
  <si>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</si>
  <si>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</si>
  <si>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</si>
  <si>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</si>
  <si>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</si>
  <si>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</si>
  <si>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</si>
  <si>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</si>
  <si>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</si>
  <si>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</si>
  <si>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</si>
  <si>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</si>
  <si>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</si>
  <si>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</si>
  <si>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</si>
  <si>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</si>
  <si>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</si>
  <si>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</si>
  <si>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</si>
  <si>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</si>
  <si>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</si>
  <si>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</si>
  <si>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</si>
  <si>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</si>
  <si>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</si>
  <si>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</si>
  <si>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</si>
  <si>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</si>
  <si>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</si>
  <si>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</si>
  <si>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</si>
  <si>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</si>
  <si>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</si>
  <si>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</si>
  <si>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</si>
  <si>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</si>
  <si>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</si>
  <si>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</si>
  <si>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</si>
  <si>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</si>
  <si>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</si>
  <si>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</si>
  <si>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</si>
  <si>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</si>
  <si>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</si>
  <si>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</si>
  <si>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</si>
  <si>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</si>
  <si>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</si>
  <si>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</si>
  <si>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</si>
  <si>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</si>
  <si>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</si>
  <si>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</si>
  <si>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</si>
  <si>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</si>
  <si>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</si>
  <si>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</si>
  <si>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</si>
  <si>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</si>
  <si>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</si>
  <si>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</si>
  <si>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</si>
  <si>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</si>
  <si>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</si>
  <si>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</si>
  <si>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</si>
  <si>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</si>
  <si>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</si>
  <si>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</si>
  <si>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</si>
  <si>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</si>
  <si>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</si>
  <si>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</si>
  <si>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</si>
  <si>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</si>
  <si>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</si>
  <si>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</si>
  <si>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</si>
  <si>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</si>
  <si>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</si>
  <si>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</si>
  <si>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</si>
  <si>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</si>
  <si>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</si>
  <si>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</si>
  <si>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</si>
  <si>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</si>
  <si>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</si>
  <si>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</si>
  <si>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</si>
  <si>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</si>
  <si>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</si>
  <si>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</si>
  <si>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</si>
  <si>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</si>
  <si>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</si>
  <si>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</si>
  <si>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</si>
  <si>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</si>
  <si>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</si>
  <si>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</si>
  <si>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</si>
  <si>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</si>
  <si>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</si>
  <si>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</si>
  <si>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</si>
  <si>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</si>
  <si>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</si>
  <si>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</si>
  <si>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</si>
  <si>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</si>
  <si>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</si>
  <si>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</si>
  <si>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</si>
  <si>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</si>
  <si>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</si>
  <si>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</si>
  <si>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</si>
  <si>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</si>
  <si>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</si>
  <si>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</si>
  <si>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</si>
  <si>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</si>
  <si>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</si>
  <si>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</si>
  <si>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</si>
  <si>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</si>
  <si>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</si>
  <si>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</si>
  <si>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</si>
  <si>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</si>
  <si>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</si>
  <si>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</si>
  <si>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</si>
  <si>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</si>
  <si>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</si>
  <si>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</si>
  <si>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</si>
  <si>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</si>
  <si>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</si>
  <si>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</si>
  <si>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</si>
  <si>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</si>
  <si>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</si>
  <si>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</si>
  <si>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</si>
  <si>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</si>
  <si>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</si>
  <si>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</si>
  <si>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</si>
  <si>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</si>
  <si>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</si>
  <si>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</si>
  <si>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</si>
  <si>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</si>
  <si>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</si>
  <si>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</si>
  <si>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</si>
  <si>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</si>
  <si>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</si>
  <si>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</si>
  <si>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</si>
  <si>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</si>
  <si>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</si>
  <si>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</si>
  <si>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</si>
  <si>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</si>
  <si>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</si>
  <si>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</si>
  <si>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</si>
  <si>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</si>
  <si>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</si>
  <si>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</si>
  <si>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</si>
  <si>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</si>
  <si>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</si>
  <si>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</si>
  <si>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</si>
  <si>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</si>
  <si>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</si>
  <si>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</si>
  <si>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</si>
  <si>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</si>
  <si>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</si>
  <si>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</si>
  <si>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</si>
  <si>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</si>
  <si>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</si>
  <si>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</si>
  <si>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</si>
  <si>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</si>
  <si>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</si>
  <si>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</si>
  <si>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</si>
  <si>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</si>
  <si>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</si>
  <si>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</si>
  <si>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</si>
  <si>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</si>
  <si>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</si>
  <si>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</si>
  <si>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</si>
  <si>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</si>
  <si>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</si>
  <si>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</si>
  <si>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</si>
  <si>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</si>
  <si>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</si>
  <si>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</si>
  <si>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</si>
  <si>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</si>
  <si>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</si>
  <si>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</si>
  <si>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</si>
  <si>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</si>
  <si>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</si>
  <si>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</si>
  <si>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</si>
  <si>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</si>
  <si>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</si>
  <si>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</si>
  <si>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</si>
  <si>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</si>
  <si>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</si>
  <si>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</si>
  <si>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</si>
  <si>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</si>
  <si>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</si>
  <si>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</si>
  <si>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</si>
  <si>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</si>
  <si>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</si>
  <si>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</si>
  <si>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</si>
  <si>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</si>
  <si>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</si>
  <si>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</si>
  <si>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</si>
  <si>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</si>
  <si>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</si>
  <si>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</si>
  <si>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</si>
  <si>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</si>
  <si>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</si>
  <si>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</si>
  <si>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</si>
  <si>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</si>
  <si>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</si>
  <si>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</si>
  <si>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</si>
  <si>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</si>
  <si>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</si>
  <si>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</si>
  <si>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</si>
  <si>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</si>
  <si>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</si>
  <si>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</si>
  <si>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</si>
  <si>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</si>
  <si>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</si>
  <si>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</si>
  <si>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</si>
  <si>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</si>
  <si>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</si>
  <si>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</si>
  <si>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</si>
  <si>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</si>
  <si>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</si>
  <si>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</si>
  <si>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</si>
  <si>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</si>
  <si>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</si>
  <si>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</si>
  <si>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</si>
  <si>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</si>
  <si>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</si>
  <si>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</si>
  <si>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</si>
  <si>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</si>
  <si>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</si>
  <si>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</si>
  <si>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</si>
  <si>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</si>
  <si>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</si>
  <si>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</si>
  <si>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</si>
  <si>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</si>
  <si>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</si>
  <si>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</si>
  <si>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</si>
  <si>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</si>
  <si>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</si>
  <si>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</si>
  <si>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</si>
  <si>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</si>
  <si>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</si>
  <si>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</si>
  <si>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</si>
  <si>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</si>
  <si>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</si>
  <si>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</si>
  <si>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</si>
  <si>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</si>
  <si>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</si>
  <si>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</si>
  <si>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</si>
  <si>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</si>
  <si>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</si>
  <si>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</si>
  <si>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</si>
  <si>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</si>
  <si>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</si>
  <si>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</si>
  <si>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</si>
  <si>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</si>
  <si>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</si>
  <si>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</si>
  <si>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</si>
  <si>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</si>
  <si>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</si>
  <si>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</si>
  <si>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</si>
  <si>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</si>
  <si>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</si>
  <si>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</si>
  <si>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</si>
  <si>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</si>
  <si>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</si>
  <si>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</si>
  <si>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</si>
  <si>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</si>
  <si>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</si>
  <si>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</si>
  <si>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</si>
  <si>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</si>
  <si>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</si>
  <si>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</si>
  <si>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</si>
  <si>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</si>
  <si>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</si>
  <si>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</si>
  <si>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</si>
  <si>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</si>
  <si>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</si>
  <si>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</si>
  <si>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</si>
  <si>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</si>
  <si>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</si>
  <si>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</si>
  <si>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</si>
  <si>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</si>
  <si>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</si>
  <si>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</si>
  <si>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</si>
  <si>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</si>
  <si>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</si>
  <si>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</si>
  <si>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</si>
  <si>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</si>
  <si>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</si>
  <si>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</si>
  <si>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</si>
  <si>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</si>
  <si>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</si>
  <si>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</si>
  <si>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</si>
  <si>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</si>
  <si>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</si>
  <si>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</si>
  <si>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</si>
  <si>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</si>
  <si>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</si>
  <si>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</si>
  <si>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</si>
  <si>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</si>
  <si>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</si>
  <si>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</si>
  <si>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</si>
  <si>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</si>
  <si>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</si>
  <si>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</si>
  <si>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</si>
  <si>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</si>
  <si>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</si>
  <si>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</si>
  <si>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</si>
  <si>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</si>
  <si>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</si>
  <si>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</si>
  <si>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</si>
  <si>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</si>
  <si>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</si>
  <si>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</si>
  <si>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</si>
  <si>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</si>
  <si>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</si>
  <si>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</si>
  <si>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</si>
  <si>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</si>
  <si>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</si>
  <si>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</si>
  <si>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</si>
  <si>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</si>
  <si>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</si>
  <si>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</si>
  <si>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</si>
  <si>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</si>
  <si>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</si>
  <si>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</si>
  <si>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</si>
  <si>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</si>
  <si>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</si>
  <si>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</si>
  <si>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</si>
  <si>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</si>
  <si>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</si>
  <si>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</si>
  <si>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</si>
  <si>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</si>
  <si>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</si>
  <si>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</si>
  <si>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</si>
  <si>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</si>
  <si>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</si>
  <si>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</si>
  <si>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</si>
  <si>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</si>
  <si>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</si>
  <si>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</si>
  <si>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</si>
  <si>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</si>
  <si>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</si>
  <si>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</si>
  <si>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</si>
  <si>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</si>
  <si>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</si>
  <si>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</si>
  <si>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</si>
  <si>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</si>
  <si>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</si>
  <si>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</si>
  <si>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</si>
  <si>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</si>
  <si>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</si>
  <si>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</si>
  <si>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</si>
  <si>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</si>
  <si>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</si>
  <si>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</si>
  <si>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</si>
  <si>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</si>
  <si>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</si>
  <si>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</si>
  <si>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</si>
  <si>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</si>
  <si>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</si>
  <si>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</si>
  <si>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</si>
  <si>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</si>
  <si>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</si>
  <si>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</si>
  <si>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</si>
  <si>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</si>
  <si>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</si>
  <si>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</si>
  <si>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</si>
  <si>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</si>
  <si>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</si>
  <si>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</si>
  <si>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</si>
  <si>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</si>
  <si>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</si>
  <si>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</si>
  <si>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</si>
  <si>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</si>
  <si>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</si>
  <si>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</si>
  <si>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</si>
  <si>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</si>
  <si>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</si>
  <si>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</si>
  <si>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</si>
  <si>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</si>
  <si>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</si>
  <si>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</si>
  <si>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</si>
  <si>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</si>
  <si>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</si>
  <si>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</si>
  <si>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</si>
  <si>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</si>
  <si>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</si>
  <si>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</si>
  <si>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</si>
  <si>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</si>
  <si>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</si>
  <si>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</si>
  <si>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</si>
  <si>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</si>
  <si>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</si>
  <si>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</si>
  <si>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</si>
  <si>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</si>
  <si>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</si>
  <si>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</si>
  <si>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</si>
  <si>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</si>
  <si>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</si>
  <si>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</si>
  <si>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</si>
  <si>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</si>
  <si>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</si>
  <si>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</si>
  <si>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</si>
  <si>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</si>
  <si>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</si>
  <si>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</si>
  <si>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</si>
  <si>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</si>
  <si>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</si>
  <si>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</si>
  <si>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</si>
  <si>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</si>
  <si>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</si>
  <si>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</si>
  <si>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</si>
  <si>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</si>
  <si>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</si>
  <si>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</si>
  <si>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</si>
  <si>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</si>
  <si>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</si>
  <si>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</si>
  <si>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</si>
  <si>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</si>
  <si>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</si>
  <si>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</si>
  <si>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</si>
  <si>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</si>
  <si>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</si>
  <si>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</si>
  <si>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</si>
  <si>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</si>
  <si>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</si>
  <si>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</si>
  <si>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</si>
  <si>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</si>
  <si>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</si>
  <si>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</si>
  <si>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</si>
  <si>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</si>
  <si>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</si>
  <si>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</si>
  <si>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</si>
  <si>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</si>
  <si>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</si>
  <si>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</si>
  <si>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</si>
  <si>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</si>
  <si>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</si>
  <si>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</si>
  <si>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</si>
  <si>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</si>
  <si>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</si>
  <si>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</si>
  <si>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</si>
  <si>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</si>
  <si>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</si>
  <si>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</si>
  <si>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</si>
  <si>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</si>
  <si>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</si>
  <si>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</si>
  <si>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</si>
  <si>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</si>
  <si>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</si>
  <si>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</si>
  <si>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</si>
  <si>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</si>
  <si>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</si>
  <si>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</si>
  <si>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</si>
  <si>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</si>
  <si>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</si>
  <si>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</si>
  <si>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</si>
  <si>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</si>
  <si>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</si>
  <si>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</si>
  <si>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</si>
  <si>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</si>
  <si>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</si>
  <si>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</si>
  <si>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</si>
  <si>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</si>
  <si>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</si>
  <si>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</si>
  <si>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</si>
  <si>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</si>
  <si>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</si>
  <si>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</si>
  <si>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</si>
  <si>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</si>
  <si>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</si>
  <si>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</si>
  <si>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</si>
  <si>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</si>
  <si>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</si>
  <si>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</si>
  <si>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</si>
  <si>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</si>
  <si>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</si>
  <si>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</si>
  <si>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</si>
  <si>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</si>
  <si>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</si>
  <si>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</si>
  <si>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</si>
  <si>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</si>
  <si>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</si>
  <si>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</si>
  <si>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</si>
  <si>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</si>
  <si>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</si>
  <si>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</si>
  <si>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</si>
  <si>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</si>
  <si>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</si>
  <si>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</si>
  <si>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</si>
  <si>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</si>
  <si>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</si>
  <si>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</si>
  <si>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</si>
  <si>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</si>
  <si>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</si>
  <si>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</si>
  <si>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</si>
  <si>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</si>
  <si>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</si>
  <si>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</si>
  <si>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</si>
  <si>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</si>
  <si>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</si>
  <si>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</si>
  <si>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</si>
  <si>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</si>
  <si>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</si>
  <si>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</si>
  <si>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</si>
  <si>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</si>
  <si>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</si>
  <si>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</si>
  <si>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</si>
  <si>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</si>
  <si>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</si>
  <si>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</si>
  <si>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</si>
  <si>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</si>
  <si>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</si>
  <si>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</si>
  <si>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</si>
  <si>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</si>
  <si>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</si>
  <si>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</si>
  <si>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</si>
  <si>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</si>
  <si>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</si>
  <si>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</si>
  <si>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</si>
  <si>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</si>
  <si>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</si>
  <si>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</si>
  <si>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</si>
  <si>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</si>
  <si>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</si>
  <si>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</si>
  <si>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</si>
  <si>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</si>
  <si>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</si>
  <si>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</si>
  <si>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</si>
  <si>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</si>
  <si>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</si>
  <si>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</si>
  <si>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</si>
  <si>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</si>
  <si>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</si>
  <si>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</si>
  <si>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</si>
  <si>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</si>
  <si>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</si>
  <si>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</si>
  <si>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</si>
  <si>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</si>
  <si>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</si>
  <si>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</si>
  <si>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</si>
  <si>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</si>
  <si>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</si>
  <si>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</si>
  <si>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</si>
  <si>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</si>
  <si>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</si>
  <si>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</si>
  <si>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</si>
  <si>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</si>
  <si>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</si>
  <si>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</si>
  <si>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</si>
  <si>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</si>
  <si>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</si>
  <si>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</si>
  <si>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</si>
  <si>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</si>
  <si>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</si>
  <si>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</si>
  <si>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</si>
  <si>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</si>
  <si>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</si>
  <si>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</si>
  <si>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</si>
  <si>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</si>
  <si>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</si>
  <si>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</si>
  <si>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</si>
  <si>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</si>
  <si>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</si>
  <si>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</si>
  <si>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</si>
  <si>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</si>
  <si>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</si>
  <si>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</si>
  <si>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</si>
  <si>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</si>
  <si>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</si>
  <si>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</si>
  <si>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</si>
  <si>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</si>
  <si>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</si>
  <si>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</si>
  <si>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</si>
  <si>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</si>
  <si>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</si>
  <si>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</si>
  <si>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</si>
  <si>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</si>
  <si>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</si>
  <si>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</si>
  <si>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</si>
  <si>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</si>
  <si>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</si>
  <si>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</si>
  <si>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</si>
  <si>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</si>
  <si>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</si>
  <si>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</si>
  <si>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</si>
  <si>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</si>
  <si>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</si>
  <si>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</si>
  <si>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</si>
  <si>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</si>
  <si>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</si>
  <si>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</si>
  <si>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</si>
  <si>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</si>
  <si>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</si>
  <si>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</si>
  <si>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</si>
  <si>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</si>
  <si>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</si>
  <si>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</si>
  <si>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</si>
  <si>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</si>
  <si>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</si>
  <si>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</si>
  <si>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</si>
  <si>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</si>
  <si>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</si>
  <si>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</si>
  <si>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</si>
  <si>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</si>
  <si>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</si>
  <si>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</si>
  <si>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</si>
  <si>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</si>
  <si>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</si>
  <si>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</si>
  <si>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</si>
  <si>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</si>
  <si>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</si>
  <si>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</si>
  <si>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</si>
  <si>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</si>
  <si>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</si>
  <si>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</si>
  <si>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</si>
  <si>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</si>
  <si>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</si>
  <si>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</si>
  <si>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</si>
  <si>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</si>
  <si>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</si>
  <si>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</si>
  <si>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</si>
  <si>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</si>
  <si>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</si>
  <si>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</si>
  <si>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</si>
  <si>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</si>
  <si>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</si>
  <si>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</si>
  <si>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</si>
  <si>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</si>
  <si>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</si>
  <si>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</si>
  <si>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</si>
  <si>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</si>
  <si>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</si>
  <si>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</si>
  <si>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</si>
  <si>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</si>
  <si>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</si>
  <si>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</si>
  <si>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</si>
  <si>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</si>
  <si>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</si>
  <si>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</si>
  <si>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</si>
  <si>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</si>
  <si>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</si>
  <si>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</si>
  <si>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</si>
  <si>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</si>
  <si>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</si>
  <si>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</si>
  <si>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</si>
  <si>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</si>
  <si>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</si>
  <si>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</si>
  <si>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</si>
  <si>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</si>
  <si>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</si>
  <si>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</si>
  <si>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</si>
  <si>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</si>
  <si>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</si>
  <si>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</si>
  <si>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</si>
  <si>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</si>
  <si>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</si>
  <si>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</si>
  <si>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</si>
  <si>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</si>
  <si>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</si>
  <si>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</si>
  <si>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</si>
  <si>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</si>
  <si>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</si>
  <si>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</si>
  <si>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</si>
  <si>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</si>
  <si>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</si>
  <si>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</si>
  <si>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</si>
  <si>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</si>
  <si>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</si>
  <si>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</si>
  <si>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</si>
  <si>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</si>
  <si>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</si>
  <si>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</si>
  <si>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</si>
  <si>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</si>
  <si>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</si>
  <si>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</si>
  <si>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</si>
  <si>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</si>
  <si>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</si>
  <si>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</si>
  <si>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</si>
  <si>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</si>
  <si>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</si>
  <si>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</si>
  <si>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</si>
  <si>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</si>
  <si>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</si>
  <si>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</si>
  <si>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</si>
  <si>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</si>
  <si>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</si>
  <si>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</si>
  <si>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</si>
  <si>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</si>
  <si>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</si>
  <si>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</si>
  <si>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</si>
  <si>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</si>
  <si>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</si>
  <si>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</si>
  <si>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</si>
  <si>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</si>
  <si>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</si>
  <si>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</si>
  <si>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</si>
  <si>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</si>
  <si>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</si>
  <si>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</si>
  <si>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</si>
  <si>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</si>
  <si>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</si>
  <si>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</si>
  <si>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</si>
  <si>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</si>
  <si>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</si>
  <si>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</si>
  <si>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</si>
  <si>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</si>
  <si>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</si>
  <si>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</si>
  <si>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</si>
  <si>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</si>
  <si>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</si>
  <si>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</si>
  <si>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</si>
  <si>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</si>
  <si>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</si>
  <si>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</si>
  <si>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</si>
  <si>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</si>
  <si>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</si>
  <si>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</si>
  <si>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</si>
  <si>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</si>
  <si>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</si>
  <si>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</si>
  <si>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</si>
  <si>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</si>
  <si>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</si>
  <si>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</si>
  <si>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</si>
  <si>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</si>
  <si>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</si>
  <si>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</si>
  <si>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</si>
  <si>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</si>
  <si>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</si>
  <si>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</si>
  <si>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</si>
  <si>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</si>
  <si>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</si>
  <si>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</si>
  <si>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</si>
  <si>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</si>
  <si>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</si>
  <si>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</si>
  <si>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</si>
  <si>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</si>
  <si>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</si>
  <si>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</si>
  <si>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</si>
  <si>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</si>
  <si>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</si>
  <si>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</si>
  <si>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</si>
  <si>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</si>
  <si>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</si>
  <si>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</si>
  <si>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</si>
  <si>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</si>
  <si>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</si>
  <si>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</si>
  <si>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</si>
  <si>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</si>
  <si>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</si>
  <si>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</si>
  <si>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</si>
  <si>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</si>
  <si>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</si>
  <si>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</si>
  <si>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</si>
  <si>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</si>
  <si>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</si>
  <si>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</si>
  <si>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</si>
  <si>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</si>
  <si>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</si>
  <si>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</si>
  <si>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</si>
  <si>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</si>
  <si>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</si>
  <si>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</si>
  <si>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</si>
  <si>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</si>
  <si>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</si>
  <si>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</si>
  <si>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</si>
  <si>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</si>
  <si>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</si>
  <si>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</si>
  <si>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</si>
  <si>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</si>
  <si>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</si>
  <si>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</si>
  <si>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</si>
  <si>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</si>
  <si>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</si>
  <si>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</si>
  <si>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</si>
  <si>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</si>
  <si>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</si>
  <si>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</si>
  <si>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</si>
  <si>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</si>
  <si>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</si>
  <si>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</si>
  <si>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</si>
  <si>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</si>
  <si>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</si>
  <si>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</si>
  <si>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</si>
  <si>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</si>
  <si>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</si>
  <si>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</si>
  <si>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</si>
  <si>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</si>
  <si>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</si>
  <si>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</si>
  <si>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</si>
  <si>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</si>
  <si>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</si>
  <si>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</si>
  <si>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</si>
  <si>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</si>
  <si>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</si>
  <si>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</si>
  <si>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</si>
  <si>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</si>
  <si>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</si>
  <si>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</si>
  <si>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</si>
  <si>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</si>
  <si>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</si>
  <si>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</si>
  <si>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</si>
  <si>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</si>
  <si>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</si>
  <si>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</si>
  <si>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</si>
  <si>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</si>
  <si>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</si>
  <si>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</si>
  <si>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</si>
  <si>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</si>
  <si>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</si>
  <si>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</si>
  <si>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</si>
  <si>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</si>
  <si>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</si>
  <si>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</si>
  <si>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</si>
  <si>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</si>
  <si>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</si>
  <si>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</si>
  <si>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</si>
  <si>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</si>
  <si>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</si>
  <si>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</si>
  <si>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</si>
  <si>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</si>
  <si>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</si>
  <si>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</si>
  <si>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</si>
  <si>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</si>
  <si>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</si>
  <si>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</si>
  <si>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</si>
  <si>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</si>
  <si>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</si>
  <si>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</si>
  <si>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</si>
  <si>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</si>
  <si>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</si>
  <si>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</si>
  <si>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</si>
  <si>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</si>
  <si>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</si>
  <si>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</si>
  <si>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</si>
  <si>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</si>
  <si>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</si>
  <si>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</si>
  <si>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</si>
  <si>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</si>
  <si>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</si>
  <si>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</si>
  <si>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</si>
  <si>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</si>
  <si>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</si>
  <si>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</si>
  <si>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</si>
  <si>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</si>
  <si>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</si>
  <si>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</si>
  <si>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</si>
  <si>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</si>
  <si>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</si>
  <si>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</si>
  <si>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</si>
  <si>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</si>
  <si>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</si>
  <si>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</si>
  <si>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</si>
  <si>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</si>
  <si>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</si>
  <si>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</si>
  <si>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</si>
  <si>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</si>
  <si>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</si>
  <si>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</si>
  <si>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</si>
  <si>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</si>
  <si>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</si>
  <si>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</si>
  <si>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</si>
  <si>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</si>
  <si>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</si>
  <si>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</si>
  <si>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</si>
  <si>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</si>
  <si>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</si>
  <si>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</si>
  <si>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</si>
  <si>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</si>
  <si>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</si>
  <si>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</si>
  <si>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</si>
  <si>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</si>
  <si>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</si>
  <si>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</si>
  <si>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</si>
  <si>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</si>
  <si>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</si>
  <si>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</si>
  <si>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</si>
  <si>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</si>
  <si>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</si>
  <si>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</si>
  <si>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</si>
  <si>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</si>
  <si>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</si>
  <si>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</si>
  <si>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</si>
  <si>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</si>
  <si>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</si>
  <si>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</si>
  <si>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</si>
  <si>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</si>
  <si>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</si>
  <si>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</si>
  <si>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</si>
  <si>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</si>
  <si>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</si>
  <si>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</si>
  <si>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</si>
  <si>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</si>
  <si>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</si>
  <si>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</si>
  <si>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</si>
  <si>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</si>
  <si>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</si>
  <si>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</si>
  <si>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</si>
  <si>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</si>
  <si>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</si>
  <si>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</si>
  <si>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</si>
  <si>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</si>
  <si>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</si>
  <si>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</si>
  <si>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</si>
  <si>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</si>
  <si>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</si>
  <si>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</si>
  <si>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</si>
  <si>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</si>
  <si>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</si>
  <si>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</si>
  <si>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</si>
  <si>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</si>
  <si>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</si>
  <si>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</si>
  <si>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</si>
  <si>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</si>
  <si>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</si>
  <si>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</si>
  <si>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</si>
  <si>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</si>
  <si>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</si>
  <si>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</si>
  <si>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</si>
  <si>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</si>
  <si>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</si>
  <si>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</si>
  <si>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</si>
  <si>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</si>
  <si>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</si>
  <si>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</si>
  <si>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</si>
  <si>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</si>
  <si>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</si>
  <si>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</si>
  <si>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</si>
  <si>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</si>
  <si>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</si>
  <si>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</si>
  <si>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</si>
  <si>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</si>
  <si>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</si>
  <si>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</si>
  <si>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</si>
  <si>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</si>
  <si>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</si>
  <si>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</si>
  <si>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</si>
  <si>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</si>
  <si>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</si>
  <si>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</si>
  <si>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</si>
  <si>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</si>
  <si>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</si>
  <si>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</si>
  <si>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</si>
  <si>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</si>
  <si>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</si>
  <si>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</si>
  <si>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</si>
  <si>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</si>
  <si>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</si>
  <si>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</si>
  <si>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</si>
  <si>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</si>
  <si>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</si>
  <si>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</si>
  <si>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</si>
  <si>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</si>
  <si>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</si>
  <si>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</si>
  <si>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</si>
  <si>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</si>
  <si>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</si>
  <si>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</si>
  <si>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</si>
  <si>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</si>
  <si>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</si>
  <si>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</si>
  <si>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</si>
  <si>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</si>
  <si>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</si>
  <si>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</si>
  <si>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</si>
  <si>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</si>
  <si>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</si>
  <si>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</si>
  <si>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</si>
  <si>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</si>
  <si>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</si>
  <si>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</si>
  <si>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</si>
  <si>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</si>
  <si>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</si>
  <si>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</si>
  <si>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</si>
  <si>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</si>
  <si>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</si>
  <si>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</si>
  <si>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</si>
  <si>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</si>
  <si>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</si>
  <si>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</si>
  <si>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</si>
  <si>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</si>
  <si>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</si>
  <si>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</si>
  <si>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</si>
  <si>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</si>
  <si>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</si>
  <si>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</si>
  <si>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</si>
  <si>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</si>
  <si>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</si>
  <si>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</si>
  <si>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</si>
  <si>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</si>
  <si>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</si>
  <si>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</si>
  <si>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</si>
  <si>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</si>
  <si>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</si>
  <si>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</si>
  <si>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</si>
  <si>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</si>
  <si>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</si>
  <si>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</si>
  <si>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</si>
  <si>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</si>
  <si>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</si>
  <si>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</si>
  <si>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</si>
  <si>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</si>
  <si>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</si>
  <si>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</si>
  <si>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</si>
  <si>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</si>
  <si>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</si>
  <si>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</si>
  <si>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</si>
  <si>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</si>
  <si>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</si>
  <si>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</si>
  <si>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</si>
  <si>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</si>
  <si>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</si>
  <si>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</si>
  <si>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</si>
  <si>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</si>
  <si>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</si>
  <si>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</si>
  <si>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</si>
  <si>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</si>
  <si>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</si>
  <si>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</si>
  <si>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</si>
  <si>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</si>
  <si>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</si>
  <si>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</si>
  <si>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</si>
  <si>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</si>
  <si>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</si>
  <si>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</si>
  <si>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</si>
  <si>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</si>
  <si>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</si>
  <si>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</si>
  <si>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</si>
  <si>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</si>
  <si>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</si>
  <si>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</si>
  <si>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</si>
  <si>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</si>
  <si>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</si>
  <si>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</si>
  <si>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</si>
  <si>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</si>
  <si>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</si>
  <si>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</si>
  <si>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</si>
  <si>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</si>
  <si>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</si>
  <si>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</si>
  <si>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</si>
  <si>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</si>
  <si>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</si>
  <si>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</si>
  <si>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</si>
  <si>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</si>
  <si>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</si>
  <si>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</si>
  <si>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</si>
  <si>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</si>
  <si>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</si>
  <si>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</si>
  <si>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</si>
  <si>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</si>
  <si>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</si>
  <si>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</si>
  <si>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</si>
  <si>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</si>
  <si>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</si>
  <si>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</si>
  <si>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</si>
  <si>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</si>
  <si>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</si>
  <si>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</si>
  <si>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</si>
  <si>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</si>
  <si>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</si>
  <si>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</si>
  <si>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</si>
  <si>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</si>
  <si>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</si>
  <si>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</si>
  <si>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</si>
  <si>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</si>
  <si>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</si>
  <si>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</si>
  <si>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</si>
  <si>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</si>
  <si>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</si>
  <si>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</si>
  <si>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</si>
  <si>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</si>
  <si>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</si>
  <si>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</si>
  <si>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</si>
  <si>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</si>
  <si>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</si>
  <si>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</si>
  <si>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</si>
  <si>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</si>
  <si>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</si>
  <si>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</si>
  <si>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</si>
  <si>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</si>
  <si>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</si>
  <si>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</si>
  <si>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</si>
  <si>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</si>
  <si>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</si>
  <si>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</si>
  <si>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</si>
  <si>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</si>
  <si>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</si>
  <si>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</si>
  <si>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</si>
  <si>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</si>
  <si>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</si>
  <si>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</si>
  <si>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</si>
  <si>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</si>
  <si>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</si>
  <si>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</si>
  <si>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</si>
  <si>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</si>
  <si>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</si>
  <si>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</si>
  <si>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</si>
  <si>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</si>
  <si>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</si>
  <si>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</si>
  <si>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</si>
  <si>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</si>
  <si>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</si>
  <si>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</si>
  <si>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</si>
  <si>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</si>
  <si>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</si>
  <si>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</si>
  <si>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</si>
  <si>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</si>
  <si>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</si>
  <si>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</si>
  <si>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</si>
  <si>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</si>
  <si>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</si>
  <si>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</si>
  <si>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</si>
  <si>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</si>
  <si>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</si>
  <si>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</si>
  <si>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</si>
  <si>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</si>
  <si>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</si>
  <si>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</si>
  <si>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</si>
  <si>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</si>
  <si>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</si>
  <si>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</si>
  <si>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</si>
  <si>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</si>
  <si>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</si>
  <si>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</si>
  <si>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</si>
  <si>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</si>
  <si>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</si>
  <si>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</si>
  <si>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</si>
  <si>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</si>
  <si>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</si>
  <si>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</si>
  <si>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</si>
  <si>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</si>
  <si>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</si>
  <si>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</si>
  <si>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</si>
  <si>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</si>
  <si>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</si>
  <si>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</si>
  <si>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</si>
  <si>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</si>
  <si>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</si>
  <si>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</si>
  <si>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</si>
  <si>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</si>
  <si>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</si>
  <si>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</si>
  <si>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</si>
  <si>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</si>
  <si>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</si>
  <si>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</si>
  <si>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</si>
  <si>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</si>
  <si>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</si>
  <si>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</si>
  <si>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</si>
  <si>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</si>
  <si>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</si>
  <si>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</si>
  <si>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</si>
  <si>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</si>
  <si>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</si>
  <si>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</si>
  <si>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</si>
  <si>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</si>
  <si>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</si>
  <si>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</si>
  <si>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</si>
  <si>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</si>
  <si>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</si>
  <si>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</si>
  <si>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</si>
  <si>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</si>
  <si>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</si>
  <si>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</si>
  <si>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</si>
  <si>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</si>
  <si>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</si>
  <si>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</si>
  <si>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</si>
  <si>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</si>
  <si>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</si>
  <si>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</si>
  <si>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</si>
  <si>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</si>
  <si>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</si>
  <si>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</si>
  <si>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</si>
  <si>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</si>
  <si>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</si>
  <si>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</si>
  <si>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</si>
  <si>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</si>
  <si>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</si>
  <si>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</si>
  <si>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</si>
  <si>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</si>
  <si>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</si>
  <si>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</si>
  <si>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</si>
  <si>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</si>
  <si>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</si>
  <si>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</si>
  <si>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</si>
  <si>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</si>
  <si>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</si>
  <si>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</si>
  <si>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</si>
  <si>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</si>
  <si>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</si>
  <si>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</si>
  <si>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</si>
  <si>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</si>
  <si>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</si>
  <si>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</si>
  <si>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</si>
  <si>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</si>
  <si>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</si>
  <si>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</si>
  <si>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</si>
  <si>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</si>
  <si>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</si>
  <si>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</si>
  <si>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</si>
  <si>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</si>
  <si>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</si>
  <si>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</si>
  <si>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</si>
  <si>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</si>
  <si>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</si>
  <si>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</si>
  <si>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</si>
  <si>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</si>
  <si>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</si>
  <si>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</si>
  <si>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</si>
  <si>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</si>
  <si>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</si>
  <si>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</si>
  <si>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</si>
  <si>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</si>
  <si>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</si>
  <si>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</si>
  <si>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</si>
  <si>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</si>
  <si>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</si>
  <si>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</si>
  <si>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</si>
  <si>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</si>
  <si>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</si>
  <si>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</si>
  <si>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</si>
  <si>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</si>
  <si>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</si>
  <si>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</si>
  <si>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</si>
  <si>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</si>
  <si>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</si>
  <si>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</si>
  <si>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</si>
  <si>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</si>
  <si>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</si>
  <si>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</si>
  <si>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</si>
  <si>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</si>
  <si>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</si>
  <si>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</si>
  <si>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</si>
  <si>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</si>
  <si>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</si>
  <si>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</si>
  <si>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</si>
  <si>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</si>
  <si>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</si>
  <si>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</si>
  <si>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</si>
  <si>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</si>
  <si>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</si>
  <si>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</si>
  <si>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</si>
  <si>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</si>
  <si>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</si>
  <si>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</si>
  <si>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</si>
  <si>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</si>
  <si>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</si>
  <si>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</si>
  <si>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</si>
  <si>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</si>
  <si>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</si>
  <si>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</si>
  <si>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</si>
  <si>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</si>
  <si>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</si>
  <si>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</si>
  <si>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</si>
  <si>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</si>
  <si>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</si>
  <si>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</si>
  <si>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</si>
  <si>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</si>
  <si>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</si>
  <si>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</si>
  <si>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</si>
  <si>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</si>
  <si>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</si>
  <si>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</si>
  <si>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</si>
  <si>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</si>
  <si>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</si>
  <si>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</si>
  <si>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</si>
  <si>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</si>
  <si>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</si>
  <si>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</si>
  <si>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</si>
  <si>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</si>
  <si>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</si>
  <si>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</si>
  <si>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</si>
  <si>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</si>
  <si>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</si>
  <si>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</si>
  <si>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</si>
  <si>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</si>
  <si>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</si>
  <si>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</si>
  <si>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</si>
  <si>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</si>
  <si>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</si>
  <si>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</si>
  <si>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</si>
  <si>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</si>
  <si>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</si>
  <si>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</si>
  <si>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</si>
  <si>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</si>
  <si>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</si>
  <si>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</si>
  <si>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</si>
  <si>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</si>
  <si>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</si>
  <si>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</si>
  <si>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</si>
  <si>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</si>
  <si>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</si>
  <si>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</si>
  <si>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</si>
  <si>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</si>
  <si>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</si>
  <si>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</si>
  <si>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</si>
  <si>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</si>
  <si>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</si>
  <si>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</si>
  <si>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</si>
  <si>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</si>
  <si>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</si>
  <si>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</si>
  <si>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</si>
  <si>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</si>
  <si>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</si>
  <si>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</si>
  <si>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</si>
  <si>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</si>
  <si>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</si>
  <si>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</si>
  <si>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</si>
  <si>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</si>
  <si>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</si>
  <si>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</si>
  <si>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</si>
  <si>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</si>
  <si>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</si>
  <si>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</si>
  <si>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</si>
  <si>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</si>
  <si>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</si>
  <si>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</si>
  <si>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</si>
  <si>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</si>
  <si>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</si>
  <si>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</si>
  <si>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</si>
  <si>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</si>
  <si>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</si>
  <si>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</si>
  <si>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</si>
  <si>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</si>
  <si>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</si>
  <si>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</si>
  <si>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</si>
  <si>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</si>
  <si>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</si>
  <si>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</si>
  <si>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</si>
  <si>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</si>
  <si>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</si>
  <si>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</si>
  <si>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</si>
  <si>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</si>
  <si>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</si>
  <si>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</si>
  <si>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</si>
  <si>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</si>
  <si>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</si>
  <si>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</si>
  <si>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</si>
  <si>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</si>
  <si>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</si>
  <si>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</si>
  <si>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</si>
  <si>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</si>
  <si>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</si>
  <si>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</si>
  <si>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</si>
  <si>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</si>
  <si>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</si>
  <si>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</si>
  <si>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</si>
  <si>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</si>
  <si>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</si>
  <si>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</si>
  <si>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</si>
  <si>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</si>
  <si>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</si>
  <si>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</si>
  <si>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</si>
  <si>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</si>
  <si>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</si>
  <si>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</si>
  <si>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</si>
  <si>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</si>
  <si>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</si>
  <si>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</si>
  <si>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</si>
  <si>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</si>
  <si>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</si>
  <si>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</si>
  <si>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</si>
  <si>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</si>
  <si>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</si>
  <si>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</si>
  <si>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</si>
  <si>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</si>
  <si>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</si>
  <si>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</si>
  <si>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</si>
  <si>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</si>
  <si>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</si>
  <si>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</si>
  <si>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</si>
  <si>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</si>
  <si>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</si>
  <si>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</si>
  <si>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</si>
  <si>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</si>
  <si>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</si>
  <si>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</si>
  <si>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</si>
  <si>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</si>
  <si>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</si>
  <si>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</si>
  <si>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</si>
  <si>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</si>
  <si>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</si>
  <si>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</si>
  <si>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</si>
  <si>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</si>
  <si>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</si>
  <si>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</si>
  <si>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</si>
  <si>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</si>
  <si>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</si>
  <si>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</si>
  <si>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</si>
  <si>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</si>
  <si>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</si>
  <si>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</si>
  <si>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</si>
  <si>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</si>
  <si>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</si>
  <si>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</si>
  <si>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</si>
  <si>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</si>
  <si>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</si>
  <si>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</si>
  <si>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</si>
  <si>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</si>
  <si>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</si>
  <si>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</si>
  <si>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</si>
  <si>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</si>
  <si>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</si>
  <si>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</si>
  <si>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</si>
  <si>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</si>
  <si>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</si>
  <si>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</si>
  <si>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</si>
  <si>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</si>
  <si>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</si>
  <si>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</si>
  <si>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</si>
  <si>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</si>
  <si>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</si>
  <si>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</si>
  <si>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</si>
  <si>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</si>
  <si>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</si>
  <si>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</si>
  <si>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</si>
  <si>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</si>
  <si>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</si>
  <si>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</si>
  <si>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</si>
  <si>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</si>
  <si>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</si>
  <si>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</si>
  <si>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</si>
  <si>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</si>
  <si>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</si>
  <si>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</si>
  <si>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</si>
  <si>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</si>
  <si>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</si>
  <si>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</si>
  <si>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</si>
  <si>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</si>
  <si>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</si>
  <si>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</si>
  <si>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</si>
  <si>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</si>
  <si>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</si>
  <si>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</si>
  <si>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</si>
  <si>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</si>
  <si>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</si>
  <si>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</si>
  <si>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</si>
  <si>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</si>
  <si>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</si>
  <si>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</si>
  <si>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</si>
  <si>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</si>
  <si>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</si>
  <si>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</si>
  <si>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</si>
  <si>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</si>
  <si>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</si>
  <si>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</si>
  <si>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</si>
  <si>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</si>
  <si>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</si>
  <si>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</si>
  <si>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</si>
  <si>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</si>
  <si>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</si>
  <si>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</si>
  <si>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</si>
  <si>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</si>
  <si>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</si>
  <si>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</si>
  <si>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</si>
  <si>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</si>
  <si>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</si>
  <si>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</si>
  <si>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</si>
  <si>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</si>
  <si>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</si>
  <si>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</si>
  <si>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</si>
  <si>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</si>
  <si>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</si>
  <si>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</si>
  <si>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</si>
  <si>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</si>
  <si>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</si>
  <si>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</si>
  <si>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</si>
  <si>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</si>
  <si>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</si>
  <si>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</si>
  <si>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</si>
  <si>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</si>
  <si>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</si>
  <si>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</si>
  <si>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</si>
  <si>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</si>
  <si>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</si>
  <si>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</si>
  <si>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</si>
  <si>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</si>
  <si>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</si>
  <si>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</si>
  <si>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</si>
  <si>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</si>
  <si>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</si>
  <si>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</si>
  <si>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</si>
  <si>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</si>
  <si>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</si>
  <si>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</si>
  <si>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</si>
  <si>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</si>
  <si>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</si>
  <si>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</si>
  <si>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</si>
  <si>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</si>
  <si>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</si>
  <si>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</si>
  <si>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</si>
  <si>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</si>
  <si>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</si>
  <si>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</si>
  <si>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</si>
  <si>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</si>
  <si>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</si>
  <si>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</si>
  <si>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</si>
  <si>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</si>
  <si>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</si>
  <si>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</si>
  <si>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</si>
  <si>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</si>
  <si>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</si>
  <si>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</si>
  <si>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</si>
  <si>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</si>
  <si>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</si>
  <si>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</si>
  <si>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</si>
  <si>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</si>
  <si>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</si>
  <si>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</si>
  <si>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</si>
  <si>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</si>
  <si>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</si>
  <si>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</si>
  <si>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</si>
  <si>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</si>
  <si>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</si>
  <si>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</si>
  <si>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</si>
  <si>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</si>
  <si>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</si>
  <si>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</si>
  <si>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</si>
  <si>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</si>
  <si>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</si>
  <si>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</si>
  <si>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</si>
  <si>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</si>
  <si>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</si>
  <si>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</si>
  <si>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</si>
  <si>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</si>
  <si>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</si>
  <si>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</si>
  <si>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</si>
  <si>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</si>
  <si>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</si>
  <si>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</si>
  <si>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</si>
  <si>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</si>
  <si>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</si>
  <si>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</si>
  <si>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</si>
  <si>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</si>
  <si>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</si>
  <si>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</si>
  <si>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</si>
  <si>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</si>
  <si>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</si>
  <si>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</si>
  <si>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</si>
  <si>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</si>
  <si>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</si>
  <si>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</si>
  <si>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</si>
  <si>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</si>
  <si>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</si>
  <si>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</si>
  <si>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</si>
  <si>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</si>
  <si>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</si>
  <si>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</si>
  <si>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</si>
  <si>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</si>
  <si>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</si>
  <si>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</si>
  <si>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</si>
  <si>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</si>
  <si>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</si>
  <si>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</si>
  <si>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</si>
  <si>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</si>
  <si>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</si>
  <si>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</si>
  <si>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</si>
  <si>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</si>
  <si>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</si>
  <si>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</si>
  <si>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</si>
  <si>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</si>
  <si>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</si>
  <si>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</si>
  <si>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</si>
  <si>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</si>
  <si>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</si>
  <si>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</si>
  <si>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</si>
  <si>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</si>
  <si>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</si>
  <si>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</si>
  <si>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</si>
  <si>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</si>
  <si>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</si>
  <si>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</si>
  <si>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</si>
  <si>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</si>
  <si>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</si>
  <si>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</si>
  <si>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</si>
  <si>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</si>
  <si>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</si>
  <si>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</si>
  <si>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</si>
  <si>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</si>
  <si>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</si>
  <si>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</si>
  <si>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</si>
  <si>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</si>
  <si>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</si>
  <si>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</si>
  <si>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</si>
  <si>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</si>
  <si>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</si>
  <si>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</si>
  <si>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</si>
  <si>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</si>
  <si>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</si>
  <si>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</si>
  <si>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</si>
  <si>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</si>
  <si>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</si>
  <si>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</si>
  <si>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</si>
  <si>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</si>
  <si>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</si>
  <si>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</si>
  <si>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</si>
  <si>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</si>
  <si>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</si>
  <si>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</si>
  <si>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</si>
  <si>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</si>
  <si>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</si>
  <si>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</si>
  <si>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</si>
  <si>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</si>
  <si>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</si>
  <si>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</si>
  <si>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</si>
  <si>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</si>
  <si>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</si>
  <si>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</si>
  <si>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</si>
  <si>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</si>
  <si>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</si>
  <si>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</si>
  <si>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</si>
  <si>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</si>
  <si>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</si>
  <si>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</si>
  <si>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</si>
  <si>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</si>
  <si>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</si>
  <si>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</si>
  <si>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</si>
  <si>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</si>
  <si>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</si>
  <si>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</si>
  <si>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</si>
  <si>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</si>
  <si>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</si>
  <si>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</si>
  <si>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</si>
  <si>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</si>
  <si>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</si>
  <si>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</si>
  <si>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</si>
  <si>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</si>
  <si>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</si>
  <si>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</si>
  <si>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</si>
  <si>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</si>
  <si>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</si>
  <si>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</si>
  <si>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</si>
  <si>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</si>
  <si>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</si>
  <si>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</si>
  <si>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</si>
  <si>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</si>
  <si>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</si>
  <si>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</si>
  <si>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</si>
  <si>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</si>
  <si>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</si>
  <si>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</si>
  <si>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</si>
  <si>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</si>
  <si>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</si>
  <si>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</si>
  <si>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</si>
  <si>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</si>
  <si>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</si>
  <si>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</si>
  <si>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</si>
  <si>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</si>
  <si>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</si>
  <si>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</si>
  <si>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</si>
  <si>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</si>
  <si>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</si>
  <si>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</si>
  <si>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</si>
  <si>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</si>
  <si>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</si>
  <si>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</si>
  <si>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</si>
  <si>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</si>
  <si>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</si>
  <si>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</si>
  <si>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</si>
  <si>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</si>
  <si>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</si>
  <si>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</si>
  <si>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</si>
  <si>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</si>
  <si>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</si>
  <si>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</si>
  <si>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</si>
  <si>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</si>
  <si>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</si>
  <si>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</si>
  <si>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</si>
  <si>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</si>
  <si>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</si>
  <si>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</si>
  <si>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</si>
  <si>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</si>
  <si>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</si>
  <si>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</si>
  <si>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</si>
  <si>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</si>
  <si>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</si>
  <si>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</si>
  <si>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</si>
  <si>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</si>
  <si>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</si>
  <si>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</si>
  <si>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</si>
  <si>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</si>
  <si>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</si>
  <si>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</si>
  <si>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</si>
  <si>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</si>
  <si>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</si>
  <si>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</si>
  <si>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</si>
  <si>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</si>
  <si>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</si>
  <si>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</si>
  <si>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</si>
  <si>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</si>
  <si>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</si>
  <si>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</si>
  <si>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</si>
  <si>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</si>
  <si>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</si>
  <si>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</si>
  <si>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</si>
  <si>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</si>
  <si>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</si>
  <si>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</si>
  <si>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</si>
  <si>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</si>
  <si>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</si>
  <si>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</si>
  <si>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</si>
  <si>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</si>
  <si>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</si>
  <si>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</si>
  <si>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</si>
  <si>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</si>
  <si>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</si>
  <si>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</si>
  <si>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</si>
  <si>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</si>
  <si>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</si>
  <si>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</si>
  <si>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</si>
  <si>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</si>
  <si>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</si>
  <si>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</si>
  <si>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</si>
  <si>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</si>
  <si>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</si>
  <si>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</si>
  <si>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</si>
  <si>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</si>
  <si>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</si>
  <si>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</si>
  <si>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</si>
  <si>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</si>
  <si>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</si>
  <si>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</si>
  <si>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</si>
  <si>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</si>
  <si>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</si>
  <si>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</si>
  <si>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</si>
  <si>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</si>
  <si>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</si>
  <si>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</si>
  <si>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</si>
  <si>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</si>
  <si>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</si>
  <si>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</si>
  <si>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</si>
  <si>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</si>
  <si>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</si>
  <si>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</si>
  <si>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</si>
  <si>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</si>
  <si>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</si>
  <si>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</si>
  <si>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</si>
  <si>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</si>
  <si>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</si>
  <si>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</si>
  <si>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</si>
  <si>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</si>
  <si>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</si>
  <si>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</si>
  <si>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</si>
  <si>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</si>
  <si>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</si>
  <si>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</si>
  <si>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</si>
  <si>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</si>
  <si>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</si>
  <si>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</si>
  <si>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</si>
  <si>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</si>
  <si>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</si>
  <si>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</si>
  <si>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</si>
  <si>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</si>
  <si>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</si>
  <si>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</si>
  <si>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</si>
  <si>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</si>
  <si>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</si>
  <si>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</si>
  <si>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</si>
  <si>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</si>
  <si>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</si>
  <si>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</si>
  <si>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</si>
  <si>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</si>
  <si>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</si>
  <si>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</si>
  <si>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</si>
  <si>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</si>
  <si>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</si>
  <si>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</si>
  <si>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</si>
  <si>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</si>
  <si>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</si>
  <si>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</si>
  <si>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</si>
  <si>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</si>
  <si>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</si>
  <si>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</si>
  <si>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</si>
  <si>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</si>
  <si>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</si>
  <si>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</si>
  <si>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</si>
  <si>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</si>
  <si>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</si>
  <si>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</si>
  <si>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</si>
  <si>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</si>
  <si>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</si>
  <si>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</si>
  <si>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</si>
  <si>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</si>
  <si>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</si>
  <si>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</si>
  <si>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</si>
  <si>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</si>
  <si>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</si>
  <si>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</si>
  <si>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</si>
  <si>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</si>
  <si>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</si>
  <si>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</si>
  <si>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</si>
  <si>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</si>
  <si>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</si>
  <si>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</si>
  <si>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</si>
  <si>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</si>
  <si>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</si>
  <si>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</si>
  <si>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</si>
  <si>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</si>
  <si>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</si>
  <si>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</si>
  <si>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</si>
  <si>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</si>
  <si>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</si>
  <si>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</si>
  <si>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</si>
  <si>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</si>
  <si>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</si>
  <si>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</si>
  <si>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</si>
  <si>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</si>
  <si>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</si>
  <si>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</si>
  <si>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</si>
  <si>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</si>
  <si>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</si>
  <si>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</si>
  <si>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</si>
  <si>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</si>
  <si>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</si>
  <si>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</si>
  <si>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</si>
  <si>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</si>
  <si>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</si>
  <si>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</si>
  <si>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</si>
  <si>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</si>
  <si>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</si>
  <si>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</si>
  <si>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</si>
  <si>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</si>
  <si>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</si>
  <si>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</si>
  <si>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</si>
  <si>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</si>
  <si>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</si>
  <si>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</si>
  <si>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</si>
  <si>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</si>
  <si>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</si>
  <si>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</si>
  <si>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</si>
  <si>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</si>
  <si>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</si>
  <si>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</si>
  <si>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</si>
  <si>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</si>
  <si>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</si>
  <si>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</si>
  <si>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</si>
  <si>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</si>
  <si>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</si>
  <si>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</si>
  <si>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</si>
  <si>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</si>
  <si>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</si>
  <si>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</si>
  <si>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</si>
  <si>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</si>
  <si>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</si>
  <si>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</si>
  <si>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</si>
  <si>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</si>
  <si>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</si>
  <si>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</si>
  <si>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</si>
  <si>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</si>
  <si>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</si>
  <si>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</si>
  <si>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</si>
  <si>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</si>
  <si>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</si>
  <si>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</si>
  <si>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</si>
  <si>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</si>
  <si>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</si>
  <si>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</si>
  <si>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</si>
  <si>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</si>
  <si>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</si>
  <si>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</si>
  <si>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</si>
  <si>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</si>
  <si>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</si>
  <si>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</si>
  <si>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</si>
  <si>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</si>
  <si>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</si>
  <si>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</si>
  <si>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</si>
  <si>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</si>
  <si>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</si>
  <si>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</si>
  <si>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</si>
  <si>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</si>
  <si>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</si>
  <si>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</si>
  <si>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</si>
  <si>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</si>
  <si>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</si>
  <si>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</si>
  <si>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</si>
  <si>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</si>
  <si>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</si>
  <si>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</si>
  <si>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</si>
  <si>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</si>
  <si>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</si>
  <si>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</si>
  <si>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</si>
  <si>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</si>
  <si>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</si>
  <si>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</si>
  <si>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</si>
  <si>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</si>
  <si>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</si>
  <si>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</si>
  <si>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</si>
  <si>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</si>
  <si>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</si>
  <si>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</si>
  <si>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</si>
  <si>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</si>
  <si>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</si>
  <si>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</si>
  <si>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</si>
  <si>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</si>
  <si>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</si>
  <si>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</si>
  <si>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</si>
  <si>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</si>
  <si>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</si>
  <si>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</si>
  <si>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</si>
  <si>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</si>
  <si>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</si>
  <si>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</si>
  <si>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</si>
  <si>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</si>
  <si>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</si>
  <si>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</si>
  <si>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</si>
  <si>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</si>
  <si>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</si>
  <si>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</si>
  <si>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</si>
  <si>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</si>
  <si>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</si>
  <si>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</si>
  <si>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</si>
  <si>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</si>
  <si>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</si>
  <si>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</si>
  <si>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</si>
  <si>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</si>
  <si>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</si>
  <si>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</si>
  <si>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</si>
  <si>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</si>
  <si>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</si>
  <si>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</si>
  <si>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</si>
  <si>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</si>
  <si>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</si>
  <si>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</si>
  <si>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</si>
  <si>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</si>
  <si>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</si>
  <si>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</si>
  <si>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</si>
  <si>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</si>
  <si>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</si>
  <si>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</si>
  <si>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</si>
  <si>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</si>
  <si>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</si>
  <si>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</si>
  <si>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</si>
  <si>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</si>
  <si>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</si>
  <si>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</si>
  <si>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</si>
  <si>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</si>
  <si>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</si>
  <si>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</si>
  <si>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</si>
  <si>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</si>
  <si>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</si>
  <si>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</si>
  <si>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</si>
  <si>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</si>
  <si>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</si>
  <si>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</si>
  <si>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</si>
  <si>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</si>
  <si>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</si>
  <si>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</si>
  <si>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</si>
  <si>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</si>
  <si>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</si>
  <si>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</si>
  <si>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</si>
  <si>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</si>
  <si>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</si>
  <si>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</si>
  <si>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</si>
  <si>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</si>
  <si>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</si>
  <si>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</si>
  <si>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</si>
  <si>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</si>
  <si>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</si>
  <si>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</si>
  <si>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</si>
  <si>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</si>
  <si>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</si>
  <si>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</si>
  <si>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</si>
  <si>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</si>
  <si>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</si>
  <si>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</si>
  <si>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</si>
  <si>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</si>
  <si>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</si>
  <si>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</si>
  <si>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</si>
  <si>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</si>
  <si>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</si>
  <si>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</si>
  <si>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</si>
  <si>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</si>
  <si>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</si>
  <si>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</si>
  <si>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</si>
  <si>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</si>
  <si>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</si>
  <si>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</si>
  <si>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</si>
  <si>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</si>
  <si>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</si>
  <si>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</si>
  <si>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</si>
  <si>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</si>
  <si>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</si>
  <si>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</si>
  <si>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</si>
  <si>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</si>
  <si>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</si>
  <si>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</si>
  <si>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</si>
  <si>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</si>
  <si>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</si>
  <si>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</si>
  <si>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</si>
  <si>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</si>
  <si>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</si>
  <si>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</si>
  <si>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</si>
  <si>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</si>
  <si>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</si>
  <si>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</si>
  <si>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</si>
  <si>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</si>
  <si>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</si>
  <si>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</si>
  <si>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</si>
  <si>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</si>
  <si>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</si>
  <si>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</si>
  <si>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</si>
  <si>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</si>
  <si>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</si>
  <si>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</si>
  <si>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</si>
  <si>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</si>
  <si>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</si>
  <si>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</si>
  <si>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</si>
  <si>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</si>
  <si>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</si>
  <si>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</si>
  <si>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</si>
  <si>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</si>
  <si>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</si>
  <si>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</si>
  <si>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</si>
  <si>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</si>
  <si>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</si>
  <si>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</si>
  <si>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</si>
  <si>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</si>
  <si>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</si>
  <si>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</si>
  <si>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</si>
  <si>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</si>
  <si>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</si>
  <si>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</si>
  <si>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</si>
  <si>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</si>
  <si>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</si>
  <si>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</si>
  <si>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</si>
  <si>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</si>
  <si>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</si>
  <si>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</si>
  <si>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</si>
  <si>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</si>
  <si>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</si>
  <si>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</si>
  <si>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</si>
  <si>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</si>
  <si>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</si>
  <si>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</si>
  <si>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</si>
  <si>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</si>
  <si>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</si>
  <si>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</si>
  <si>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</si>
  <si>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</si>
  <si>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</si>
  <si>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</si>
  <si>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</si>
  <si>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</si>
  <si>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</si>
  <si>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</si>
  <si>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</si>
  <si>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</si>
  <si>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</si>
  <si>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</si>
  <si>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</si>
  <si>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</si>
  <si>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</si>
  <si>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</si>
  <si>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</si>
  <si>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</si>
  <si>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</si>
  <si>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</si>
  <si>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</si>
  <si>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</si>
  <si>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</si>
  <si>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</si>
  <si>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</si>
  <si>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</si>
  <si>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</si>
  <si>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</si>
  <si>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</si>
  <si>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</si>
  <si>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</si>
  <si>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</si>
  <si>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</si>
  <si>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</si>
  <si>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</si>
  <si>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</si>
  <si>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</si>
  <si>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</si>
  <si>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</si>
  <si>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</si>
  <si>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</si>
  <si>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</si>
  <si>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</si>
  <si>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</si>
  <si>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</si>
  <si>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</si>
  <si>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</si>
  <si>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</si>
  <si>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</si>
  <si>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</si>
  <si>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</si>
  <si>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</si>
  <si>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</si>
  <si>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</si>
  <si>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</si>
  <si>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</si>
  <si>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</si>
  <si>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</si>
  <si>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</si>
  <si>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</si>
  <si>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</si>
  <si>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</si>
  <si>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</si>
  <si>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</si>
  <si>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</si>
  <si>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</si>
  <si>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</si>
  <si>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</si>
  <si>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</si>
  <si>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</si>
  <si>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</si>
  <si>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</si>
  <si>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</si>
  <si>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</si>
  <si>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</si>
  <si>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</si>
  <si>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</si>
  <si>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</si>
  <si>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</si>
  <si>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</si>
  <si>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</si>
  <si>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</si>
  <si>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</si>
  <si>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</si>
  <si>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</si>
  <si>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</si>
  <si>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</si>
  <si>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</si>
  <si>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</si>
  <si>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</si>
  <si>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</si>
  <si>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</si>
  <si>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</si>
  <si>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</si>
  <si>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</si>
  <si>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</si>
  <si>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</si>
  <si>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</si>
  <si>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</si>
  <si>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</si>
  <si>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</si>
  <si>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</si>
  <si>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</si>
  <si>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</si>
  <si>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</si>
  <si>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</si>
  <si>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</si>
  <si>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</si>
  <si>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</si>
  <si>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</si>
  <si>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</si>
  <si>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</si>
  <si>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</si>
  <si>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</si>
  <si>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</si>
  <si>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</si>
  <si>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</si>
  <si>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</si>
  <si>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</si>
  <si>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</si>
  <si>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</si>
  <si>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</si>
  <si>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</si>
  <si>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</si>
  <si>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</si>
  <si>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</si>
  <si>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</si>
  <si>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</si>
  <si>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</si>
  <si>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</si>
  <si>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</si>
  <si>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</si>
  <si>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</si>
  <si>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</si>
  <si>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</si>
  <si>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</si>
  <si>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</si>
  <si>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</si>
  <si>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</si>
  <si>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</si>
  <si>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</si>
  <si>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</si>
  <si>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</si>
  <si>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</si>
  <si>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</si>
  <si>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</si>
  <si>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</si>
  <si>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</si>
  <si>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</si>
  <si>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</si>
  <si>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</si>
  <si>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</si>
  <si>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</si>
  <si>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</si>
  <si>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</si>
  <si>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</si>
  <si>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</si>
  <si>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</si>
  <si>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</si>
  <si>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</si>
  <si>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</si>
  <si>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</si>
  <si>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</si>
  <si>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</si>
  <si>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</si>
  <si>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</si>
  <si>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</si>
  <si>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</si>
  <si>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</si>
  <si>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</si>
  <si>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</si>
  <si>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</si>
  <si>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</si>
  <si>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</si>
  <si>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</si>
  <si>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</si>
  <si>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</si>
  <si>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</si>
  <si>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</si>
  <si>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</si>
  <si>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</si>
  <si>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</si>
  <si>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</si>
  <si>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</si>
  <si>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</si>
  <si>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</si>
  <si>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</si>
  <si>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</si>
  <si>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</si>
  <si>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</si>
  <si>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</si>
  <si>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</si>
  <si>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</si>
  <si>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</si>
  <si>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</si>
  <si>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</si>
  <si>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</si>
  <si>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</si>
  <si>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</si>
  <si>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</si>
  <si>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</si>
  <si>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</si>
  <si>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</si>
  <si>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</si>
  <si>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</si>
  <si>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</si>
  <si>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</si>
  <si>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</si>
  <si>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</si>
  <si>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</si>
  <si>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</si>
  <si>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</si>
  <si>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</si>
  <si>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</si>
  <si>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</si>
  <si>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</si>
  <si>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</si>
  <si>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</si>
  <si>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</si>
  <si>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</si>
  <si>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</si>
  <si>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</si>
  <si>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</si>
  <si>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</si>
  <si>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</si>
  <si>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</si>
  <si>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</si>
  <si>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</si>
  <si>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</si>
  <si>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</si>
  <si>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</si>
  <si>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</si>
  <si>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</si>
  <si>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</si>
  <si>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</si>
  <si>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</si>
  <si>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</si>
  <si>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</si>
  <si>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</si>
  <si>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</si>
  <si>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</si>
  <si>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</si>
  <si>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</si>
  <si>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</si>
  <si>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</si>
  <si>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</si>
  <si>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</si>
  <si>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</si>
  <si>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</si>
  <si>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</si>
  <si>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</si>
  <si>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</si>
  <si>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</si>
  <si>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</si>
  <si>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</si>
  <si>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</si>
  <si>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</si>
  <si>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</si>
  <si>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</si>
  <si>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</si>
  <si>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</si>
  <si>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</si>
  <si>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</si>
  <si>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</si>
  <si>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</si>
  <si>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</si>
  <si>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</si>
  <si>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</si>
  <si>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</si>
  <si>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</si>
  <si>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</si>
  <si>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</si>
  <si>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</si>
  <si>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</si>
  <si>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</si>
  <si>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</si>
  <si>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</si>
  <si>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</si>
  <si>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</si>
  <si>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</si>
  <si>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</si>
  <si>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</si>
  <si>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</si>
  <si>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</si>
  <si>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</si>
  <si>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</si>
  <si>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</si>
  <si>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</si>
  <si>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</si>
  <si>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</si>
  <si>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</si>
  <si>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</si>
  <si>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</si>
  <si>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</si>
  <si>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</si>
  <si>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</si>
  <si>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</si>
  <si>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</si>
  <si>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</si>
  <si>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</si>
  <si>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</si>
  <si>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</si>
  <si>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</si>
  <si>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</si>
  <si>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</si>
  <si>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</si>
  <si>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</si>
  <si>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</si>
  <si>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</si>
  <si>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</si>
  <si>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</si>
  <si>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</si>
  <si>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</si>
  <si>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</si>
  <si>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</si>
  <si>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</si>
  <si>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</si>
  <si>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</si>
  <si>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</si>
  <si>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</si>
  <si>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</si>
  <si>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</si>
  <si>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</si>
  <si>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</si>
  <si>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</si>
  <si>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</si>
  <si>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</si>
  <si>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</si>
  <si>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</si>
  <si>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</si>
  <si>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</si>
  <si>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</si>
  <si>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</si>
  <si>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</si>
  <si>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</si>
  <si>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</si>
  <si>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</si>
  <si>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</si>
  <si>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</si>
  <si>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</si>
  <si>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</si>
  <si>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</si>
  <si>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</si>
  <si>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</si>
  <si>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</si>
  <si>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</si>
  <si>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</si>
  <si>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</si>
  <si>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</si>
  <si>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</si>
  <si>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</si>
  <si>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</si>
  <si>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</si>
  <si>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</si>
  <si>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</si>
  <si>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</si>
  <si>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</si>
  <si>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</si>
  <si>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</si>
  <si>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</si>
  <si>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</si>
  <si>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</si>
  <si>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</si>
  <si>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</si>
  <si>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</si>
  <si>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</si>
  <si>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</si>
  <si>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</si>
  <si>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</si>
  <si>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</si>
  <si>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</si>
  <si>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</si>
  <si>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</si>
  <si>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</si>
  <si>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</si>
  <si>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</si>
  <si>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</si>
  <si>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</si>
  <si>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</si>
  <si>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</si>
  <si>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</si>
  <si>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</si>
  <si>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</si>
  <si>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</si>
  <si>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</si>
  <si>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</si>
  <si>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</si>
  <si>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</si>
  <si>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</si>
  <si>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</si>
  <si>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</si>
  <si>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</si>
  <si>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</si>
  <si>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</si>
  <si>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</si>
  <si>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</si>
  <si>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</si>
  <si>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</si>
  <si>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</si>
  <si>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</si>
  <si>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</si>
  <si>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</si>
  <si>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</si>
  <si>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</si>
  <si>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</si>
  <si>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</si>
  <si>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</si>
  <si>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</si>
  <si>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</si>
  <si>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</si>
  <si>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</si>
  <si>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</si>
  <si>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</si>
  <si>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</si>
  <si>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</si>
  <si>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</si>
  <si>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</si>
  <si>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</si>
  <si>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</si>
  <si>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</si>
  <si>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</si>
  <si>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</si>
  <si>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</si>
  <si>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</si>
  <si>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</si>
  <si>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</si>
  <si>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</si>
  <si>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</si>
  <si>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</si>
  <si>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</si>
  <si>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</si>
  <si>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</si>
  <si>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</si>
  <si>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</si>
  <si>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</si>
  <si>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</si>
  <si>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</si>
  <si>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</si>
  <si>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</si>
  <si>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</si>
  <si>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</si>
  <si>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</si>
  <si>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</si>
  <si>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</si>
  <si>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</si>
  <si>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</si>
  <si>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</si>
  <si>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</si>
  <si>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</si>
  <si>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</si>
  <si>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</si>
  <si>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</si>
  <si>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</si>
  <si>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</si>
  <si>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</si>
  <si>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</si>
  <si>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</si>
  <si>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</si>
  <si>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</si>
  <si>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</si>
  <si>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</si>
  <si>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</si>
  <si>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</si>
  <si>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</si>
  <si>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</si>
  <si>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</si>
  <si>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</si>
  <si>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</si>
  <si>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</si>
  <si>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</si>
  <si>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</si>
  <si>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</si>
  <si>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</si>
  <si>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</si>
  <si>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</si>
  <si>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</si>
  <si>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</si>
  <si>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</si>
  <si>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</si>
  <si>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</si>
  <si>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</si>
  <si>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</si>
  <si>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</si>
  <si>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</si>
  <si>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</si>
  <si>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</si>
  <si>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</si>
  <si>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</si>
  <si>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</si>
  <si>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</si>
  <si>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</si>
  <si>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</si>
  <si>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</si>
  <si>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</si>
  <si>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</si>
  <si>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</si>
  <si>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</si>
  <si>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</si>
  <si>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</si>
  <si>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</si>
  <si>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</si>
  <si>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</si>
  <si>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</si>
  <si>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</si>
  <si>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</si>
  <si>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</si>
  <si>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</si>
  <si>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</si>
  <si>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</si>
  <si>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</si>
  <si>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</si>
  <si>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</si>
  <si>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</si>
  <si>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</si>
  <si>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</si>
  <si>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</si>
  <si>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</si>
  <si>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</si>
  <si>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</si>
  <si>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</si>
  <si>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</si>
  <si>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</si>
  <si>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</si>
  <si>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</si>
  <si>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</si>
  <si>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</si>
  <si>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</si>
  <si>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</si>
  <si>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</si>
  <si>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</si>
  <si>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</si>
  <si>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</si>
  <si>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</si>
  <si>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</si>
  <si>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</si>
  <si>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</si>
  <si>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</si>
  <si>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</si>
  <si>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</si>
  <si>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</si>
  <si>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</si>
  <si>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</si>
  <si>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</si>
  <si>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</si>
  <si>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</si>
  <si>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</si>
  <si>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</si>
  <si>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</si>
  <si>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</si>
  <si>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</si>
  <si>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</si>
  <si>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</si>
  <si>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</si>
  <si>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</si>
  <si>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</si>
  <si>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</si>
  <si>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</si>
  <si>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</si>
  <si>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</si>
  <si>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</si>
  <si>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</si>
  <si>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</si>
  <si>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</si>
  <si>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</si>
  <si>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</si>
  <si>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</si>
  <si>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</si>
  <si>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</si>
  <si>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</si>
  <si>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</si>
  <si>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</si>
  <si>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</si>
  <si>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</si>
  <si>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</si>
  <si>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</si>
  <si>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</si>
  <si>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</si>
  <si>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</si>
  <si>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</si>
  <si>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</si>
  <si>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</si>
  <si>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</si>
  <si>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</si>
  <si>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</si>
  <si>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</si>
  <si>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</si>
  <si>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</si>
  <si>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</si>
  <si>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</si>
  <si>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</si>
  <si>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</si>
  <si>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</si>
  <si>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</si>
  <si>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</si>
  <si>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</si>
  <si>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</si>
  <si>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</si>
  <si>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</si>
  <si>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</si>
  <si>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</si>
  <si>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</si>
  <si>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</si>
  <si>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</si>
  <si>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</si>
  <si>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</si>
  <si>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</si>
  <si>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</si>
  <si>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</si>
  <si>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</si>
  <si>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</si>
  <si>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</si>
  <si>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</si>
  <si>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</si>
  <si>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</si>
  <si>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</si>
  <si>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</si>
  <si>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</si>
  <si>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</si>
  <si>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</si>
  <si>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</si>
  <si>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</si>
  <si>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</si>
  <si>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</si>
  <si>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</si>
  <si>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</si>
  <si>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</si>
  <si>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</si>
  <si>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</si>
  <si>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</si>
  <si>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</si>
  <si>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</si>
  <si>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</si>
  <si>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</si>
  <si>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</si>
  <si>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</si>
  <si>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</si>
  <si>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</si>
  <si>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</si>
  <si>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</si>
  <si>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</si>
  <si>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</si>
  <si>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</si>
  <si>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</si>
  <si>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</si>
  <si>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</si>
  <si>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</si>
  <si>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</si>
  <si>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</si>
  <si>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</si>
  <si>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</si>
  <si>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</si>
  <si>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</si>
  <si>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</si>
  <si>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</si>
  <si>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</si>
  <si>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</si>
  <si>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</si>
  <si>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</si>
  <si>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</si>
  <si>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</si>
  <si>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</si>
  <si>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</si>
  <si>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</si>
  <si>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</si>
  <si>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</si>
  <si>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</si>
  <si>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</si>
  <si>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</si>
  <si>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</si>
  <si>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</si>
  <si>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</si>
  <si>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</si>
  <si>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</si>
  <si>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</si>
  <si>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</si>
  <si>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</si>
  <si>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</si>
  <si>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</si>
  <si>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</si>
  <si>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</si>
  <si>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</si>
  <si>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</si>
  <si>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</si>
  <si>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</si>
  <si>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</si>
  <si>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</si>
  <si>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</si>
  <si>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</si>
  <si>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</si>
  <si>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</si>
  <si>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</si>
  <si>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</si>
  <si>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</si>
  <si>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</si>
  <si>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</si>
  <si>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</si>
  <si>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</si>
  <si>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</si>
  <si>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</si>
  <si>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</si>
  <si>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</si>
  <si>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</si>
  <si>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</si>
  <si>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</si>
  <si>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</si>
  <si>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</si>
  <si>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</si>
  <si>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</si>
  <si>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</si>
  <si>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</si>
  <si>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</si>
  <si>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</si>
  <si>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</si>
  <si>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</si>
  <si>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</si>
  <si>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</si>
  <si>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</si>
  <si>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</si>
  <si>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</si>
  <si>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</si>
  <si>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</si>
  <si>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</si>
  <si>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</si>
  <si>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</si>
  <si>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</si>
  <si>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</si>
  <si>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</si>
  <si>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</si>
  <si>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</si>
  <si>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</si>
  <si>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</si>
  <si>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</si>
  <si>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</si>
  <si>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</si>
  <si>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</si>
  <si>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</si>
  <si>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</si>
  <si>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</si>
  <si>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</si>
  <si>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</si>
  <si>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</si>
  <si>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</si>
  <si>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</si>
  <si>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</si>
  <si>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</si>
  <si>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</si>
  <si>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</si>
  <si>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</si>
  <si>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</si>
  <si>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</si>
  <si>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</si>
  <si>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</si>
  <si>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</si>
  <si>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</si>
  <si>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</si>
  <si>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</si>
  <si>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</si>
  <si>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</si>
  <si>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</si>
  <si>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</si>
  <si>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</si>
  <si>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</si>
  <si>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</si>
  <si>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</si>
  <si>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</si>
  <si>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</si>
  <si>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</si>
  <si>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</si>
  <si>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</si>
  <si>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</si>
  <si>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</si>
  <si>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</si>
  <si>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</si>
  <si>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</si>
  <si>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</si>
  <si>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</si>
  <si>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</si>
  <si>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</si>
  <si>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</si>
  <si>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</si>
  <si>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</si>
  <si>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</si>
  <si>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</si>
  <si>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</si>
  <si>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</si>
  <si>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</si>
  <si>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</si>
  <si>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</si>
  <si>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</si>
  <si>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</si>
  <si>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</si>
  <si>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</si>
  <si>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</si>
  <si>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</si>
  <si>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</si>
  <si>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</si>
  <si>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</si>
  <si>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</si>
  <si>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</si>
  <si>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</si>
  <si>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</si>
  <si>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</si>
  <si>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</si>
  <si>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</si>
  <si>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</si>
  <si>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</si>
  <si>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</si>
  <si>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</si>
  <si>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</si>
  <si>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</si>
  <si>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</si>
  <si>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</si>
  <si>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</si>
  <si>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</si>
  <si>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</si>
  <si>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</si>
  <si>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</si>
  <si>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</si>
  <si>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</si>
  <si>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</si>
  <si>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</si>
  <si>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</si>
  <si>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</si>
  <si>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</si>
  <si>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</si>
  <si>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</si>
  <si>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</si>
  <si>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</si>
  <si>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</si>
  <si>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</si>
  <si>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</si>
  <si>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</si>
  <si>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</si>
  <si>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</si>
  <si>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</si>
  <si>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</si>
  <si>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</si>
  <si>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</si>
  <si>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</si>
  <si>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</si>
  <si>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</si>
  <si>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</si>
  <si>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</si>
  <si>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</si>
  <si>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</si>
  <si>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</si>
  <si>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</si>
  <si>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</si>
  <si>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</si>
  <si>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</si>
  <si>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</si>
  <si>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</si>
  <si>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</si>
  <si>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</si>
  <si>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</si>
  <si>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</si>
  <si>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</si>
  <si>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</si>
  <si>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</si>
  <si>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</si>
  <si>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</si>
  <si>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</si>
  <si>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</si>
  <si>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</si>
  <si>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</si>
  <si>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</si>
  <si>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</si>
  <si>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</si>
  <si>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</si>
  <si>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</si>
  <si>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</si>
  <si>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</si>
  <si>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</si>
  <si>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</si>
  <si>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</si>
  <si>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</si>
  <si>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</si>
  <si>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</si>
  <si>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</si>
  <si>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</si>
  <si>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</si>
  <si>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</si>
  <si>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</si>
  <si>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</si>
  <si>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</si>
  <si>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</si>
  <si>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</si>
  <si>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</si>
  <si>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</si>
  <si>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</si>
  <si>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</si>
  <si>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</si>
  <si>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</si>
  <si>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</si>
  <si>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</si>
  <si>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</si>
  <si>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</si>
  <si>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</si>
  <si>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</si>
  <si>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</si>
  <si>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</si>
  <si>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</si>
  <si>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</si>
  <si>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</si>
  <si>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</si>
  <si>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</si>
  <si>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</si>
  <si>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</si>
  <si>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</si>
  <si>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</si>
  <si>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</si>
  <si>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</si>
  <si>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</si>
  <si>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</si>
  <si>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</si>
  <si>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</si>
  <si>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</si>
  <si>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</si>
  <si>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</si>
  <si>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</si>
  <si>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</si>
  <si>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</si>
  <si>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</si>
  <si>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</si>
  <si>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</si>
  <si>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</si>
  <si>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</si>
  <si>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</si>
  <si>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</si>
  <si>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</si>
  <si>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</si>
  <si>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</si>
  <si>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</si>
  <si>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</si>
  <si>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</si>
  <si>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</si>
  <si>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</si>
  <si>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</si>
  <si>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</si>
  <si>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</si>
  <si>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</si>
  <si>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</si>
  <si>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</si>
  <si>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</si>
  <si>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</si>
  <si>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</si>
  <si>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</si>
  <si>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وغدیر 382393 تا 1496</t>
  </si>
  <si>
    <t>ومهان 24993 تا 1500</t>
  </si>
  <si>
    <t>وغدیر 153178 تا 1302</t>
  </si>
  <si>
    <t>طلب نصف 46 قسط وام 50 میلیونی 24/7/1400</t>
  </si>
  <si>
    <t>1/8/1400</t>
  </si>
  <si>
    <t>وغدیر 28378 تا 1535</t>
  </si>
  <si>
    <t>ومهان 65406 تا 1525</t>
  </si>
  <si>
    <t>3/8/1400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</si>
</sst>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I133" zoomScale="80" zoomScaleNormal="80" workbookViewId="0">
      <selection activeCell="X166" sqref="X16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72"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71" si="30">Q159+R160</f>
        <v>61</v>
      </c>
      <c r="S159" s="97">
        <f t="shared" ref="S159:S171"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7042</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4829</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4829</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3"/>
  <sheetViews>
    <sheetView tabSelected="1" topLeftCell="I21" zoomScale="85" zoomScaleNormal="85" workbookViewId="0">
      <selection activeCell="L42" sqref="L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N20*100/$S$176</f>
        <v>1.857933427973631E-6</v>
      </c>
      <c r="R20" s="167">
        <v>9268987</v>
      </c>
      <c r="S20" s="166" t="s">
        <v>4149</v>
      </c>
      <c r="T20" s="189">
        <f>T107</f>
        <v>1117</v>
      </c>
      <c r="U20" s="166" t="s">
        <v>4280</v>
      </c>
      <c r="V20" s="166">
        <v>192.1</v>
      </c>
      <c r="W20" s="166">
        <f t="shared" ref="W20:W61" si="7">V20*(1+$S$103+$R$15*T20/36500)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3249347865</v>
      </c>
      <c r="O22" s="97">
        <v>2116839</v>
      </c>
      <c r="P22" s="183">
        <f>P48</f>
        <v>1535</v>
      </c>
      <c r="Q22" s="67">
        <f t="shared" si="6"/>
        <v>27.820608375567968</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883287018</v>
      </c>
      <c r="O23" s="97">
        <v>605821</v>
      </c>
      <c r="P23" s="183">
        <f>P51</f>
        <v>1458</v>
      </c>
      <c r="Q23" s="67">
        <f t="shared" si="6"/>
        <v>7.5626197107711812</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23666835.301340103</v>
      </c>
      <c r="G24" s="93">
        <f t="shared" si="0"/>
        <v>256639510.08059853</v>
      </c>
      <c r="H24" s="11"/>
      <c r="I24" s="94"/>
      <c r="J24" s="94"/>
      <c r="K24" s="206"/>
      <c r="L24" s="115"/>
      <c r="M24" s="206" t="s">
        <v>5857</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-X154</f>
        <v>43874000.301340103</v>
      </c>
      <c r="M28" s="187" t="s">
        <v>4415</v>
      </c>
      <c r="N28" s="111">
        <v>169</v>
      </c>
      <c r="O28" s="253"/>
      <c r="P28" s="97" t="s">
        <v>25</v>
      </c>
      <c r="Q28" s="67">
        <f t="shared" si="6"/>
        <v>1.4469619784679431E-6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39161880</v>
      </c>
      <c r="O30" s="67">
        <v>26860</v>
      </c>
      <c r="P30" s="97">
        <f>P51</f>
        <v>1458</v>
      </c>
      <c r="Q30" s="67">
        <f t="shared" si="6"/>
        <v>0.33530030393682941</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509788850</v>
      </c>
      <c r="O33" s="67">
        <v>332110</v>
      </c>
      <c r="P33" s="97">
        <f>P48</f>
        <v>1535</v>
      </c>
      <c r="Q33" s="67">
        <f t="shared" si="6"/>
        <v>4.3647638047153698</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N44*100/$S$176</f>
        <v>5.3083812227818031E-7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7038</v>
      </c>
      <c r="L45" s="115">
        <v>25000000</v>
      </c>
      <c r="M45" s="166" t="s">
        <v>6479</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4781439040</v>
      </c>
      <c r="O48" s="97">
        <v>3114944</v>
      </c>
      <c r="P48" s="97">
        <v>1535</v>
      </c>
      <c r="Q48" s="67">
        <f t="shared" si="26"/>
        <v>40.938227770664277</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-23200000</v>
      </c>
      <c r="M49" s="19" t="s">
        <v>5857</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-11600000</v>
      </c>
      <c r="M51" s="19" t="s">
        <v>5267</v>
      </c>
      <c r="N51" s="111">
        <f t="shared" si="29"/>
        <v>2229636294</v>
      </c>
      <c r="O51" s="97">
        <v>1529243</v>
      </c>
      <c r="P51" s="97">
        <v>1458</v>
      </c>
      <c r="Q51" s="67">
        <f t="shared" si="26"/>
        <v>19.089934575326463</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5800</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11600000</v>
      </c>
      <c r="O53" s="67">
        <v>10</v>
      </c>
      <c r="P53" s="67">
        <v>1160000</v>
      </c>
      <c r="Q53" s="67">
        <f t="shared" si="26"/>
        <v>9.9318100297207931E-2</v>
      </c>
      <c r="R53" s="167" t="s">
        <v>25</v>
      </c>
      <c r="S53" s="206" t="s">
        <v>5676</v>
      </c>
      <c r="T53" s="194">
        <f>T52-7</f>
        <v>338</v>
      </c>
      <c r="U53" s="206" t="s">
        <v>6474</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7037</v>
      </c>
      <c r="V55" s="206">
        <v>1302</v>
      </c>
      <c r="W55" s="206">
        <f t="shared" si="7"/>
        <v>1617.4335780821921</v>
      </c>
      <c r="X55" s="32">
        <f t="shared" si="30"/>
        <v>1649.7822496438359</v>
      </c>
      <c r="Y55" s="32">
        <f t="shared" si="31"/>
        <v>1682.1309212054798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100</v>
      </c>
      <c r="U56" s="206" t="s">
        <v>6475</v>
      </c>
      <c r="V56" s="206">
        <v>1343</v>
      </c>
      <c r="W56" s="206">
        <f t="shared" si="7"/>
        <v>1466.4382575342465</v>
      </c>
      <c r="X56" s="32">
        <f t="shared" ref="X56:X61" si="32">W56*(1+$X$19/100)</f>
        <v>1495.7670226849316</v>
      </c>
      <c r="Y56" s="32">
        <f t="shared" ref="Y56:Y61"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O48+28378</f>
        <v>3143322</v>
      </c>
      <c r="P57" s="113"/>
      <c r="Q57" s="113"/>
      <c r="R57" s="167"/>
      <c r="S57" s="206" t="s">
        <v>6476</v>
      </c>
      <c r="T57" s="194">
        <f>T56-1</f>
        <v>99</v>
      </c>
      <c r="U57" s="206" t="s">
        <v>6477</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95</v>
      </c>
      <c r="U58" s="206" t="s">
        <v>6481</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94</v>
      </c>
      <c r="U59" s="206" t="s">
        <v>6490</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O51-30290</f>
        <v>1498953</v>
      </c>
      <c r="P60" t="s">
        <v>25</v>
      </c>
      <c r="R60" s="167"/>
      <c r="S60" s="206" t="s">
        <v>6494</v>
      </c>
      <c r="T60" s="194">
        <f>T59-1</f>
        <v>93</v>
      </c>
      <c r="U60" s="206" t="s">
        <v>6495</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-X147</f>
        <v>-131487232.63087845</v>
      </c>
      <c r="P61" t="s">
        <v>25</v>
      </c>
      <c r="R61" s="167"/>
      <c r="S61" s="206" t="s">
        <v>955</v>
      </c>
      <c r="T61" s="194">
        <f>T107-1085</f>
        <v>32</v>
      </c>
      <c r="U61" s="206" t="s">
        <v>6985</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-4</v>
      </c>
      <c r="U62" s="206" t="s">
        <v>7028</v>
      </c>
      <c r="V62" s="206">
        <v>1500</v>
      </c>
      <c r="W62" s="206">
        <f t="shared" ref="W62:W70" si="34">V62*(1+$S$103+$R$15*T62/36500)</f>
        <v>1518.1972602739727</v>
      </c>
      <c r="X62" s="32">
        <f t="shared" ref="X62:X70" si="35">W62*(1+$X$19/100)</f>
        <v>1548.5612054794522</v>
      </c>
      <c r="Y62" s="32">
        <f t="shared" ref="Y62:Y70" si="36">W62*(1+$Y$19/100)</f>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-5</v>
      </c>
      <c r="U63" s="206" t="s">
        <v>7031</v>
      </c>
      <c r="V63" s="206">
        <v>1500</v>
      </c>
      <c r="W63" s="206">
        <f t="shared" si="34"/>
        <v>1517.046575342466</v>
      </c>
      <c r="X63" s="32">
        <f t="shared" si="35"/>
        <v>1547.3875068493153</v>
      </c>
      <c r="Y63" s="32">
        <f t="shared" si="36"/>
        <v>1577.7284383561646</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11528971100.369122</v>
      </c>
      <c r="P64" t="s">
        <v>25</v>
      </c>
      <c r="R64" s="167"/>
      <c r="S64" s="206" t="s">
        <v>7032</v>
      </c>
      <c r="T64" s="194">
        <f>T107-1123</f>
        <v>-6</v>
      </c>
      <c r="U64" s="206" t="s">
        <v>7033</v>
      </c>
      <c r="V64" s="206">
        <v>1530</v>
      </c>
      <c r="W64" s="206">
        <f t="shared" si="34"/>
        <v>1546.2138082191784</v>
      </c>
      <c r="X64" s="32">
        <f t="shared" si="35"/>
        <v>1577.138084383562</v>
      </c>
      <c r="Y64" s="32">
        <f t="shared" si="36"/>
        <v>1608.0623605479457</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23666835.301340103</v>
      </c>
      <c r="M65" s="166"/>
      <c r="N65" s="111">
        <f>N16+N17+N37</f>
        <v>141053</v>
      </c>
      <c r="P65" t="s">
        <v>25</v>
      </c>
      <c r="R65" s="167"/>
      <c r="S65" s="206" t="s">
        <v>7034</v>
      </c>
      <c r="T65" s="194">
        <f>T107-1124</f>
        <v>-7</v>
      </c>
      <c r="U65" s="206" t="s">
        <v>7036</v>
      </c>
      <c r="V65" s="206">
        <v>1500</v>
      </c>
      <c r="W65" s="206">
        <f t="shared" si="34"/>
        <v>1514.7452054794521</v>
      </c>
      <c r="X65" s="32">
        <f t="shared" si="35"/>
        <v>1545.0401095890411</v>
      </c>
      <c r="Y65" s="32">
        <f t="shared" si="36"/>
        <v>1575.3350136986303</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48580372.301340103</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123666835.3013401</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2330390534.6758094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1117</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1055</v>
      </c>
      <c r="U77" s="188" t="s">
        <v>4453</v>
      </c>
      <c r="V77" s="166">
        <v>184.6</v>
      </c>
      <c r="W77" s="166">
        <f t="shared" ref="W77:W98" si="38">V77*(1+$S$103+$R$15*T77/36500)</f>
        <v>336.80548164383561</v>
      </c>
      <c r="X77" s="32">
        <f t="shared" ref="X77:X84" si="39">W77*(1+$X$19/100)</f>
        <v>343.54159127671232</v>
      </c>
      <c r="Y77" s="32">
        <f t="shared" ref="Y77:Y84" si="40">W77*(1+$Y$19/100)</f>
        <v>350.27770090958904</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1034</v>
      </c>
      <c r="U78" s="187" t="s">
        <v>4457</v>
      </c>
      <c r="V78" s="166">
        <v>168.5</v>
      </c>
      <c r="W78" s="166">
        <f t="shared" si="38"/>
        <v>304.71632328767129</v>
      </c>
      <c r="X78" s="32">
        <f t="shared" si="39"/>
        <v>310.81064975342474</v>
      </c>
      <c r="Y78" s="32">
        <f t="shared" si="40"/>
        <v>316.90497621917814</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1033</v>
      </c>
      <c r="U79" s="187" t="s">
        <v>4461</v>
      </c>
      <c r="V79" s="166">
        <v>166.7</v>
      </c>
      <c r="W79" s="166">
        <f t="shared" si="38"/>
        <v>301.33331397260275</v>
      </c>
      <c r="X79" s="32">
        <f t="shared" si="39"/>
        <v>307.35998025205481</v>
      </c>
      <c r="Y79" s="32">
        <f t="shared" si="40"/>
        <v>313.38664653150687</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1032</v>
      </c>
      <c r="U80" s="187" t="s">
        <v>4465</v>
      </c>
      <c r="V80" s="166">
        <v>166.6</v>
      </c>
      <c r="W80" s="166">
        <f t="shared" si="38"/>
        <v>301.02474739726028</v>
      </c>
      <c r="X80" s="32">
        <f t="shared" si="39"/>
        <v>307.04524234520551</v>
      </c>
      <c r="Y80" s="32">
        <f t="shared" si="40"/>
        <v>313.06573729315073</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1002</v>
      </c>
      <c r="U81" s="187" t="s">
        <v>4547</v>
      </c>
      <c r="V81" s="166">
        <v>172.2</v>
      </c>
      <c r="W81" s="166">
        <f t="shared" si="38"/>
        <v>307.18026739726025</v>
      </c>
      <c r="X81" s="32">
        <f t="shared" si="39"/>
        <v>313.32387274520545</v>
      </c>
      <c r="Y81" s="32">
        <f t="shared" si="40"/>
        <v>319.46747809315065</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927</v>
      </c>
      <c r="U82" s="187" t="s">
        <v>4774</v>
      </c>
      <c r="V82" s="206">
        <v>183</v>
      </c>
      <c r="W82" s="206">
        <f t="shared" si="38"/>
        <v>315.91716164383564</v>
      </c>
      <c r="X82" s="32">
        <f t="shared" si="39"/>
        <v>322.23550487671235</v>
      </c>
      <c r="Y82" s="32">
        <f t="shared" si="40"/>
        <v>328.55384810958907</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893</v>
      </c>
      <c r="U83" s="187" t="s">
        <v>4851</v>
      </c>
      <c r="V83" s="206">
        <v>218.5</v>
      </c>
      <c r="W83" s="206">
        <f t="shared" si="38"/>
        <v>371.50267945205479</v>
      </c>
      <c r="X83" s="32">
        <f t="shared" si="39"/>
        <v>378.9327330410959</v>
      </c>
      <c r="Y83" s="32">
        <f t="shared" si="40"/>
        <v>386.36278663013701</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877</v>
      </c>
      <c r="U84" s="187" t="s">
        <v>5598</v>
      </c>
      <c r="V84" s="206">
        <v>196.2</v>
      </c>
      <c r="W84" s="206">
        <f t="shared" si="38"/>
        <v>331.17914958904106</v>
      </c>
      <c r="X84" s="32">
        <f t="shared" si="39"/>
        <v>337.8027325808219</v>
      </c>
      <c r="Y84" s="32">
        <f t="shared" si="40"/>
        <v>344.42631557260273</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379</v>
      </c>
      <c r="U85" s="187" t="s">
        <v>5634</v>
      </c>
      <c r="V85" s="206">
        <v>1550</v>
      </c>
      <c r="W85" s="206">
        <f t="shared" si="38"/>
        <v>2024.2065753424658</v>
      </c>
      <c r="X85" s="32">
        <f t="shared" ref="X85:X91" si="42">W85*(1+$X$19/100)</f>
        <v>2064.6907068493151</v>
      </c>
      <c r="Y85" s="32">
        <f t="shared" ref="Y85:Y91" si="43">W85*(1+$Y$19/100)</f>
        <v>2105.1748383561644</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296</v>
      </c>
      <c r="U86" s="187" t="s">
        <v>5730</v>
      </c>
      <c r="V86" s="206">
        <v>1275</v>
      </c>
      <c r="W86" s="206">
        <f t="shared" si="38"/>
        <v>1583.8923287671234</v>
      </c>
      <c r="X86" s="32">
        <f t="shared" si="42"/>
        <v>1615.570175342466</v>
      </c>
      <c r="Y86" s="32">
        <f t="shared" si="43"/>
        <v>1647.2480219178085</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291</v>
      </c>
      <c r="U87" s="187" t="s">
        <v>5738</v>
      </c>
      <c r="V87" s="206">
        <v>1210</v>
      </c>
      <c r="W87" s="206">
        <f t="shared" si="38"/>
        <v>1498.5037808219181</v>
      </c>
      <c r="X87" s="32">
        <f t="shared" si="42"/>
        <v>1528.4738564383565</v>
      </c>
      <c r="Y87" s="32">
        <f t="shared" si="43"/>
        <v>1558.4439320547949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287</v>
      </c>
      <c r="U88" s="187" t="s">
        <v>5744</v>
      </c>
      <c r="V88" s="206">
        <v>1175</v>
      </c>
      <c r="W88" s="206">
        <f t="shared" si="38"/>
        <v>1451.5531506849316</v>
      </c>
      <c r="X88" s="32">
        <f t="shared" si="42"/>
        <v>1480.5842136986303</v>
      </c>
      <c r="Y88" s="32">
        <f t="shared" si="43"/>
        <v>1509.615276712329</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284</v>
      </c>
      <c r="U89" s="187" t="s">
        <v>5746</v>
      </c>
      <c r="V89" s="206">
        <v>1148</v>
      </c>
      <c r="W89" s="206">
        <f t="shared" si="38"/>
        <v>1415.5563397260275</v>
      </c>
      <c r="X89" s="32">
        <f t="shared" si="42"/>
        <v>1443.8674665205481</v>
      </c>
      <c r="Y89" s="32">
        <f t="shared" si="43"/>
        <v>1472.1785933150686</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283</v>
      </c>
      <c r="U90" s="187" t="s">
        <v>5750</v>
      </c>
      <c r="V90" s="206">
        <v>1141</v>
      </c>
      <c r="W90" s="206">
        <f t="shared" si="38"/>
        <v>1406.0496109589042</v>
      </c>
      <c r="X90" s="32">
        <f t="shared" si="42"/>
        <v>1434.1706031780823</v>
      </c>
      <c r="Y90" s="32">
        <f t="shared" si="43"/>
        <v>1462.2915953972604</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282</v>
      </c>
      <c r="U91" s="187" t="s">
        <v>5751</v>
      </c>
      <c r="V91" s="206">
        <v>1171</v>
      </c>
      <c r="W91" s="206">
        <f t="shared" si="38"/>
        <v>1442.12018630137</v>
      </c>
      <c r="X91" s="32">
        <f t="shared" si="42"/>
        <v>1470.9625900273975</v>
      </c>
      <c r="Y91" s="32">
        <f t="shared" si="43"/>
        <v>1499.8049937534249</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217</v>
      </c>
      <c r="U92" s="187" t="s">
        <v>5809</v>
      </c>
      <c r="V92" s="206">
        <v>1255.0999999999999</v>
      </c>
      <c r="W92" s="206">
        <f t="shared" si="38"/>
        <v>1483.1086871232876</v>
      </c>
      <c r="X92" s="32">
        <f t="shared" ref="X92:X98" si="44">W92*(1+$X$19/100)</f>
        <v>1512.7708608657533</v>
      </c>
      <c r="Y92" s="32">
        <f t="shared" ref="Y92:Y98" si="45">W92*(1+$Y$19/100)</f>
        <v>1542.4330346082193</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102</v>
      </c>
      <c r="U93" s="187" t="s">
        <v>6631</v>
      </c>
      <c r="V93" s="206">
        <v>1160</v>
      </c>
      <c r="W93" s="206">
        <f t="shared" si="38"/>
        <v>1268.3980273972604</v>
      </c>
      <c r="X93" s="32">
        <f t="shared" si="44"/>
        <v>1293.7659879452056</v>
      </c>
      <c r="Y93" s="32">
        <f t="shared" si="45"/>
        <v>1319.1339484931509</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50</v>
      </c>
      <c r="U94" s="187" t="s">
        <v>6633</v>
      </c>
      <c r="V94" s="206">
        <v>1600</v>
      </c>
      <c r="W94" s="206">
        <f t="shared" si="38"/>
        <v>1685.6898630136989</v>
      </c>
      <c r="X94" s="32">
        <f t="shared" si="44"/>
        <v>1719.4036602739729</v>
      </c>
      <c r="Y94" s="32">
        <f t="shared" si="45"/>
        <v>1753.1174575342468</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37</v>
      </c>
      <c r="U95" s="187" t="s">
        <v>6652</v>
      </c>
      <c r="V95" s="206">
        <v>1544</v>
      </c>
      <c r="W95" s="206">
        <f t="shared" si="38"/>
        <v>1611.2930191780824</v>
      </c>
      <c r="X95" s="32">
        <f t="shared" si="44"/>
        <v>1643.5188795616441</v>
      </c>
      <c r="Y95" s="32">
        <f t="shared" si="45"/>
        <v>1675.7447399452058</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516037696.7462979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7557.00325732899</v>
      </c>
      <c r="G106" s="196">
        <f>P48</f>
        <v>1535</v>
      </c>
      <c r="H106" s="196" t="s">
        <v>4699</v>
      </c>
      <c r="I106" s="196" t="s">
        <v>5286</v>
      </c>
      <c r="J106" s="207" t="s">
        <v>4216</v>
      </c>
      <c r="K106" s="196">
        <v>210</v>
      </c>
      <c r="L106" s="208">
        <f t="shared" ref="L106:L111" si="47">K106*$L$114</f>
        <v>2436000000</v>
      </c>
      <c r="M106" s="208">
        <f>N22+N33+N48</f>
        <v>8540575755</v>
      </c>
      <c r="N106" s="181">
        <f>L106-M106</f>
        <v>-6104575755</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382800000</v>
      </c>
      <c r="M107" s="1">
        <f>N51+N30+N23</f>
        <v>3152085192</v>
      </c>
      <c r="N107" s="111">
        <f t="shared" ref="N107:N109" si="48">L107-M107</f>
        <v>-2769285192</v>
      </c>
      <c r="P107" s="94"/>
      <c r="R107" s="35">
        <v>38474780.062005915</v>
      </c>
      <c r="S107" s="5" t="s">
        <v>4149</v>
      </c>
      <c r="T107" s="5">
        <v>1117</v>
      </c>
      <c r="U107" s="5" t="s">
        <v>5565</v>
      </c>
      <c r="V107" s="166">
        <v>192</v>
      </c>
      <c r="W107" s="97">
        <f t="shared" ref="W107:W130" si="49">V107*(1+$S$103+$R$15*T107/36500)</f>
        <v>359.43872876712334</v>
      </c>
      <c r="X107" s="32">
        <f t="shared" ref="X107" si="50">W107*(1+$X$19/100)</f>
        <v>366.62750334246579</v>
      </c>
      <c r="Y107" s="32">
        <f t="shared" ref="Y107" si="51">W107*(1+$Y$19/100)</f>
        <v>373.81627791780829</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422</v>
      </c>
      <c r="U108" s="206" t="s">
        <v>5577</v>
      </c>
      <c r="V108" s="206">
        <v>1995.5</v>
      </c>
      <c r="W108" s="97">
        <f t="shared" si="49"/>
        <v>2671.8268876712327</v>
      </c>
      <c r="X108" s="32">
        <f t="shared" ref="X108:X109" si="52">W108*(1+$X$19/100)</f>
        <v>2725.2634254246573</v>
      </c>
      <c r="Y108" s="32">
        <f t="shared" ref="Y108:Y109" si="53">W108*(1+$Y$19/100)</f>
        <v>2778.6999631780823</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417</v>
      </c>
      <c r="U109" s="206" t="s">
        <v>5626</v>
      </c>
      <c r="V109" s="206">
        <v>1751</v>
      </c>
      <c r="W109" s="97">
        <f t="shared" si="49"/>
        <v>2337.7433095890415</v>
      </c>
      <c r="X109" s="32">
        <f t="shared" si="52"/>
        <v>2384.4981757808223</v>
      </c>
      <c r="Y109" s="32">
        <f t="shared" si="53"/>
        <v>2431.2530419726031</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11600000</v>
      </c>
      <c r="M110" s="208">
        <f>N52+N24+N45+N29+N21</f>
        <v>0</v>
      </c>
      <c r="N110" s="181">
        <f>L110-M110</f>
        <v>11600000</v>
      </c>
      <c r="P110" t="s">
        <v>25</v>
      </c>
      <c r="R110" s="167">
        <v>106896832</v>
      </c>
      <c r="S110" s="206" t="s">
        <v>5628</v>
      </c>
      <c r="T110" s="206">
        <f>T109-36</f>
        <v>381</v>
      </c>
      <c r="U110" s="206" t="s">
        <v>5629</v>
      </c>
      <c r="V110" s="206">
        <v>1715</v>
      </c>
      <c r="W110" s="97">
        <f t="shared" si="49"/>
        <v>2242.3178630136986</v>
      </c>
      <c r="X110" s="32">
        <f t="shared" ref="X110" si="54">W110*(1+$X$19/100)</f>
        <v>2287.1642202739727</v>
      </c>
      <c r="Y110" s="32">
        <f t="shared" ref="Y110" si="55">W110*(1+$Y$19/100)</f>
        <v>2332.0105775342467</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815</v>
      </c>
      <c r="L111" s="238">
        <f t="shared" si="47"/>
        <v>9454000000</v>
      </c>
      <c r="M111" s="238">
        <v>0</v>
      </c>
      <c r="N111" s="84">
        <f>L111-M111</f>
        <v>9454000000</v>
      </c>
      <c r="P111" t="s">
        <v>25</v>
      </c>
      <c r="R111" s="167">
        <v>455942528</v>
      </c>
      <c r="S111" s="206" t="s">
        <v>5630</v>
      </c>
      <c r="T111" s="206">
        <f>T110-1</f>
        <v>380</v>
      </c>
      <c r="U111" s="206" t="s">
        <v>5631</v>
      </c>
      <c r="V111" s="206">
        <v>1631</v>
      </c>
      <c r="W111" s="97">
        <f t="shared" si="49"/>
        <v>2131.238871232877</v>
      </c>
      <c r="X111" s="32">
        <f t="shared" ref="X111:X112" si="56">W111*(1+$X$19/100)</f>
        <v>2173.8636486575347</v>
      </c>
      <c r="Y111" s="32">
        <f t="shared" ref="Y111:Y112" si="57">W111*(1+$Y$19/100)</f>
        <v>2216.4884260821923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379</v>
      </c>
      <c r="U112" s="206" t="s">
        <v>5652</v>
      </c>
      <c r="V112" s="206">
        <v>1567.4</v>
      </c>
      <c r="W112" s="97">
        <f t="shared" si="49"/>
        <v>2046.9299265753425</v>
      </c>
      <c r="X112" s="32">
        <f t="shared" si="56"/>
        <v>2087.8685251068496</v>
      </c>
      <c r="Y112" s="32">
        <f t="shared" si="57"/>
        <v>2128.8071236383562</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1059</v>
      </c>
      <c r="L113" s="208"/>
      <c r="M113" s="208"/>
      <c r="N113" s="181"/>
      <c r="R113" s="167"/>
      <c r="S113" s="206" t="s">
        <v>5653</v>
      </c>
      <c r="T113" s="206">
        <f>T112-13</f>
        <v>366</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11600000</v>
      </c>
      <c r="M114" s="1">
        <f>K114*L114</f>
        <v>0</v>
      </c>
      <c r="N114" s="111">
        <f>SUM(N106:N112)-M114</f>
        <v>586738605</v>
      </c>
      <c r="P114" s="112"/>
      <c r="Q114" s="112"/>
      <c r="R114" s="167" t="s">
        <v>25</v>
      </c>
      <c r="S114" s="206" t="s">
        <v>5655</v>
      </c>
      <c r="T114" s="206">
        <f>T113-1</f>
        <v>365</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364</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311</v>
      </c>
      <c r="U116" s="206" t="s">
        <v>7019</v>
      </c>
      <c r="V116" s="206">
        <v>1500</v>
      </c>
      <c r="W116" s="97">
        <f t="shared" si="49"/>
        <v>1880.6630136986305</v>
      </c>
      <c r="X116" s="32">
        <f t="shared" ref="X116:X119" si="60">W116*(1+$X$19/100)</f>
        <v>1918.2762739726031</v>
      </c>
      <c r="Y116" s="32">
        <f t="shared" ref="Y116:Y119" si="61">W116*(1+$Y$19/100)</f>
        <v>1955.8895342465757</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240</v>
      </c>
      <c r="U117" s="206" t="s">
        <v>5768</v>
      </c>
      <c r="V117" s="206">
        <v>1354.1</v>
      </c>
      <c r="W117" s="97">
        <f t="shared" si="49"/>
        <v>1623.985114520548</v>
      </c>
      <c r="X117" s="32">
        <f t="shared" si="60"/>
        <v>1656.4648168109591</v>
      </c>
      <c r="Y117" s="32">
        <f t="shared" si="61"/>
        <v>1688.9445191013699</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232</v>
      </c>
      <c r="U118" s="206" t="s">
        <v>5785</v>
      </c>
      <c r="V118" s="206">
        <v>1266</v>
      </c>
      <c r="W118" s="97">
        <f t="shared" si="49"/>
        <v>1510.5565150684934</v>
      </c>
      <c r="X118" s="32">
        <f t="shared" si="60"/>
        <v>1540.7676453698632</v>
      </c>
      <c r="Y118" s="32">
        <f t="shared" si="61"/>
        <v>1570.9787756712331</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219</v>
      </c>
      <c r="U119" s="206" t="s">
        <v>6468</v>
      </c>
      <c r="V119" s="206">
        <v>1275</v>
      </c>
      <c r="W119" s="97">
        <f t="shared" si="49"/>
        <v>1508.58</v>
      </c>
      <c r="X119" s="32">
        <f t="shared" si="60"/>
        <v>1538.7516000000001</v>
      </c>
      <c r="Y119" s="32">
        <f t="shared" si="61"/>
        <v>1568.9232</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102</v>
      </c>
      <c r="U120" s="206" t="s">
        <v>6470</v>
      </c>
      <c r="V120" s="206">
        <v>1310</v>
      </c>
      <c r="W120" s="97">
        <f t="shared" si="49"/>
        <v>1432.4150136986302</v>
      </c>
      <c r="X120" s="32">
        <f t="shared" ref="X120:X122" si="63">W120*(1+$X$19/100)</f>
        <v>1461.0633139726028</v>
      </c>
      <c r="Y120" s="32">
        <f t="shared" ref="Y120:Y122" si="64">W120*(1+$Y$19/100)</f>
        <v>1489.7116142465754</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98</v>
      </c>
      <c r="U121" s="206" t="s">
        <v>6616</v>
      </c>
      <c r="V121" s="206">
        <v>1388</v>
      </c>
      <c r="W121" s="97">
        <f t="shared" si="49"/>
        <v>1513.444778082192</v>
      </c>
      <c r="X121" s="32">
        <f t="shared" si="63"/>
        <v>1543.7136736438358</v>
      </c>
      <c r="Y121" s="32">
        <f t="shared" si="64"/>
        <v>1573.9825692054796</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95</v>
      </c>
      <c r="U122" s="206" t="s">
        <v>6991</v>
      </c>
      <c r="V122" s="206">
        <v>11390000</v>
      </c>
      <c r="W122" s="97">
        <f t="shared" si="49"/>
        <v>12393193.753424658</v>
      </c>
      <c r="X122" s="32">
        <f t="shared" si="63"/>
        <v>12641057.628493151</v>
      </c>
      <c r="Y122" s="32">
        <f t="shared" si="64"/>
        <v>12888921.503561644</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90</v>
      </c>
      <c r="U123" s="206" t="s">
        <v>6982</v>
      </c>
      <c r="V123" s="206">
        <v>1702</v>
      </c>
      <c r="W123" s="97">
        <f t="shared" si="49"/>
        <v>1845.3783452054797</v>
      </c>
      <c r="X123" s="32">
        <f t="shared" ref="X123:X136" si="67">W123*(1+$X$19/100)</f>
        <v>1882.2859121095894</v>
      </c>
      <c r="Y123" s="32">
        <f t="shared" ref="Y123:Y136" si="68">W123*(1+$Y$19/100)</f>
        <v>1919.1934790136991</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31</v>
      </c>
      <c r="U124" s="206" t="s">
        <v>6988</v>
      </c>
      <c r="V124" s="206">
        <v>1555</v>
      </c>
      <c r="W124" s="97">
        <f t="shared" si="49"/>
        <v>1615.615178082192</v>
      </c>
      <c r="X124" s="32">
        <f t="shared" si="67"/>
        <v>1647.9274816438358</v>
      </c>
      <c r="Y124" s="32">
        <f t="shared" si="68"/>
        <v>1680.2397852054796</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17</v>
      </c>
      <c r="U125" s="206" t="s">
        <v>6996</v>
      </c>
      <c r="V125" s="206">
        <v>1525</v>
      </c>
      <c r="W125" s="97">
        <f t="shared" si="49"/>
        <v>1568.067671232877</v>
      </c>
      <c r="X125" s="32">
        <f t="shared" si="67"/>
        <v>1599.4290246575347</v>
      </c>
      <c r="Y125" s="32">
        <f t="shared" si="68"/>
        <v>1630.7903780821921</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15</v>
      </c>
      <c r="U126" s="206" t="s">
        <v>6998</v>
      </c>
      <c r="V126" s="206">
        <v>1541</v>
      </c>
      <c r="W126" s="97">
        <f t="shared" si="49"/>
        <v>1582.1552547945207</v>
      </c>
      <c r="X126" s="32">
        <f t="shared" si="67"/>
        <v>1613.7983598904111</v>
      </c>
      <c r="Y126" s="32">
        <f t="shared" si="68"/>
        <v>1645.4414649863015</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14</v>
      </c>
      <c r="U127" s="206" t="s">
        <v>7041</v>
      </c>
      <c r="V127" s="206">
        <v>1525</v>
      </c>
      <c r="W127" s="97">
        <f t="shared" si="49"/>
        <v>1564.5580821917811</v>
      </c>
      <c r="X127" s="32">
        <f t="shared" si="67"/>
        <v>1595.8492438356168</v>
      </c>
      <c r="Y127" s="32">
        <f t="shared" si="68"/>
        <v>1627.1404054794523</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4</v>
      </c>
      <c r="U128" s="206" t="s">
        <v>7023</v>
      </c>
      <c r="V128" s="206">
        <v>1580</v>
      </c>
      <c r="W128" s="97">
        <f t="shared" si="49"/>
        <v>1608.8642191780825</v>
      </c>
      <c r="X128" s="32">
        <f t="shared" si="67"/>
        <v>1641.0415035616443</v>
      </c>
      <c r="Y128" s="32">
        <f t="shared" si="68"/>
        <v>1673.2187879452058</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3</v>
      </c>
      <c r="U129" s="206" t="s">
        <v>7025</v>
      </c>
      <c r="V129" s="206">
        <v>1560</v>
      </c>
      <c r="W129" s="97">
        <f t="shared" si="49"/>
        <v>1587.3021369863015</v>
      </c>
      <c r="X129" s="32">
        <f t="shared" si="67"/>
        <v>1619.0481797260277</v>
      </c>
      <c r="Y129" s="32">
        <f t="shared" si="68"/>
        <v>1650.7942224657536</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0</v>
      </c>
      <c r="U130" s="206" t="s">
        <v>7035</v>
      </c>
      <c r="V130" s="206">
        <v>1496</v>
      </c>
      <c r="W130" s="97">
        <f t="shared" si="49"/>
        <v>1518.7392000000002</v>
      </c>
      <c r="X130" s="32">
        <f t="shared" si="67"/>
        <v>1549.1139840000003</v>
      </c>
      <c r="Y130" s="32">
        <f t="shared" si="68"/>
        <v>1579.4887680000002</v>
      </c>
      <c r="Z130" s="440">
        <v>382393</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7039</v>
      </c>
      <c r="T131" s="206">
        <f>T107-1127</f>
        <v>-10</v>
      </c>
      <c r="U131" s="206" t="s">
        <v>7040</v>
      </c>
      <c r="V131" s="206">
        <v>1535</v>
      </c>
      <c r="W131" s="97">
        <f t="shared" ref="W131:W135" si="70">V131*(1+$S$103+$R$15*T131/36500)</f>
        <v>1546.5566575342468</v>
      </c>
      <c r="X131" s="32">
        <f t="shared" ref="X131:X135" si="71">W131*(1+$X$19/100)</f>
        <v>1577.4877906849317</v>
      </c>
      <c r="Y131" s="32">
        <f t="shared" ref="Y131:Y135" si="72">W131*(1+$Y$19/100)</f>
        <v>1608.4189238356169</v>
      </c>
      <c r="Z131" s="444">
        <v>28378</v>
      </c>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c r="T132" s="206"/>
      <c r="U132" s="206"/>
      <c r="V132" s="206"/>
      <c r="W132" s="97">
        <f t="shared" si="70"/>
        <v>0</v>
      </c>
      <c r="X132" s="32">
        <f t="shared" si="71"/>
        <v>0</v>
      </c>
      <c r="Y132" s="32">
        <f t="shared" si="72"/>
        <v>0</v>
      </c>
      <c r="Z132" s="444"/>
      <c r="AA132" s="444"/>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44"/>
      <c r="AA133" s="444"/>
      <c r="AB133" s="444"/>
      <c r="AI133" s="20">
        <v>113</v>
      </c>
      <c r="AJ133" s="115" t="s">
        <v>4593</v>
      </c>
      <c r="AK133" s="115">
        <v>-980000</v>
      </c>
      <c r="AL133" s="20">
        <v>0</v>
      </c>
      <c r="AM133" s="97">
        <f t="shared" si="69"/>
        <v>886</v>
      </c>
      <c r="AN133" s="115">
        <f t="shared" si="66"/>
        <v>-868280000</v>
      </c>
      <c r="AO133" s="20"/>
    </row>
    <row r="134" spans="7:44">
      <c r="R134" s="167"/>
      <c r="S134" s="206"/>
      <c r="T134" s="206"/>
      <c r="U134" s="206"/>
      <c r="V134" s="206"/>
      <c r="W134" s="97">
        <f t="shared" si="70"/>
        <v>0</v>
      </c>
      <c r="X134" s="32">
        <f t="shared" si="71"/>
        <v>0</v>
      </c>
      <c r="Y134" s="32">
        <f t="shared" si="72"/>
        <v>0</v>
      </c>
      <c r="Z134" s="425"/>
      <c r="AA134" s="425"/>
      <c r="AB134" s="42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206"/>
      <c r="T135" s="206" t="s">
        <v>25</v>
      </c>
      <c r="U135" s="206" t="s">
        <v>25</v>
      </c>
      <c r="V135" s="206"/>
      <c r="W135" s="97" t="e">
        <f t="shared" si="70"/>
        <v>#VALUE!</v>
      </c>
      <c r="X135" s="32" t="e">
        <f t="shared" si="71"/>
        <v>#VALUE!</v>
      </c>
      <c r="Y135" s="32" t="e">
        <f t="shared" si="72"/>
        <v>#VALUE!</v>
      </c>
      <c r="Z135" s="94"/>
      <c r="AA135" s="94" t="s">
        <v>25</v>
      </c>
      <c r="AB135" s="355"/>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166"/>
      <c r="T136" s="166"/>
      <c r="U136" s="166" t="s">
        <v>25</v>
      </c>
      <c r="V136" s="166"/>
      <c r="W136" s="97">
        <f>V136*(1+$S$103+$R$15*T136/36500)</f>
        <v>0</v>
      </c>
      <c r="X136" s="32">
        <f t="shared" si="67"/>
        <v>0</v>
      </c>
      <c r="Y136" s="32">
        <f t="shared" si="68"/>
        <v>0</v>
      </c>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2053475.6951140065</v>
      </c>
      <c r="H137" s="276" t="s">
        <v>5440</v>
      </c>
      <c r="I137" s="32" t="e">
        <f>(N32+N48+N46+N33+N25+N22+N23+N24+N30+N31+#REF!+N49+N51)/P47</f>
        <v>#REF!</v>
      </c>
      <c r="J137" s="112"/>
      <c r="K137" s="94"/>
      <c r="L137" s="94" t="s">
        <v>25</v>
      </c>
      <c r="M137" s="94"/>
      <c r="R137" s="111">
        <f>SUM(N46:N53)-SUM(R107:R136)</f>
        <v>5144958315.3686695</v>
      </c>
      <c r="S137" s="110"/>
      <c r="T137" s="110"/>
      <c r="U137" s="110"/>
      <c r="V137" s="166"/>
      <c r="W137" s="97" t="s">
        <v>25</v>
      </c>
      <c r="X137" s="32"/>
      <c r="Y137" s="32"/>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26"/>
      <c r="S138" s="179"/>
      <c r="T138" s="179"/>
      <c r="U138" t="s">
        <v>25</v>
      </c>
      <c r="V138" s="94" t="s">
        <v>25</v>
      </c>
      <c r="W138" s="94" t="s">
        <v>25</v>
      </c>
      <c r="X138" s="94"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(X147+X148)/P48</f>
        <v>392879.63278890896</v>
      </c>
      <c r="H139" s="32" t="s">
        <v>5421</v>
      </c>
      <c r="I139" s="32">
        <f>(X147+X148)/P47</f>
        <v>22586.90023711518</v>
      </c>
      <c r="J139" s="112"/>
      <c r="K139" s="94"/>
      <c r="L139" s="94"/>
      <c r="M139" s="94"/>
      <c r="N139" s="94"/>
      <c r="O139" s="94"/>
      <c r="S139" s="32" t="s">
        <v>4511</v>
      </c>
      <c r="T139" s="32" t="s">
        <v>933</v>
      </c>
      <c r="U139" t="s">
        <v>25</v>
      </c>
      <c r="V139" s="94" t="s">
        <v>25</v>
      </c>
      <c r="W139" s="94" t="s">
        <v>25</v>
      </c>
      <c r="X139" s="94" t="s">
        <v>25</v>
      </c>
      <c r="Y139" s="120" t="s">
        <v>25</v>
      </c>
      <c r="Z139" t="s">
        <v>25</v>
      </c>
      <c r="AA139" t="s">
        <v>25</v>
      </c>
      <c r="AB139" s="94" t="s">
        <v>25</v>
      </c>
      <c r="AI139" s="119">
        <v>119</v>
      </c>
      <c r="AJ139" s="77" t="s">
        <v>4621</v>
      </c>
      <c r="AK139" s="77">
        <v>17595278</v>
      </c>
      <c r="AL139" s="119">
        <v>1</v>
      </c>
      <c r="AM139" s="119">
        <f t="shared" si="69"/>
        <v>872</v>
      </c>
      <c r="AN139" s="77">
        <f t="shared" si="66"/>
        <v>15343082416</v>
      </c>
      <c r="AO139" s="119" t="s">
        <v>4623</v>
      </c>
      <c r="AR139" t="s">
        <v>25</v>
      </c>
    </row>
    <row r="140" spans="7:44">
      <c r="G140" s="32">
        <f>X145/P48</f>
        <v>2628430.8640831821</v>
      </c>
      <c r="H140" s="32" t="s">
        <v>480</v>
      </c>
      <c r="I140" s="32">
        <f>X145/P47</f>
        <v>151110.16390890203</v>
      </c>
      <c r="J140" s="112"/>
      <c r="K140" s="94"/>
      <c r="L140" s="94"/>
      <c r="N140" s="94"/>
      <c r="S140" s="32">
        <v>33288</v>
      </c>
      <c r="T140" s="167">
        <v>152128600.70081395</v>
      </c>
      <c r="U140"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t="s">
        <v>25</v>
      </c>
      <c r="S141" s="32">
        <v>9243</v>
      </c>
      <c r="T141" s="1">
        <f>T140*S141/S140</f>
        <v>42241187.7036056</v>
      </c>
      <c r="U141" s="112" t="s">
        <v>25</v>
      </c>
      <c r="V141" s="94" t="s">
        <v>25</v>
      </c>
      <c r="W141" s="120" t="s">
        <v>25</v>
      </c>
      <c r="X141" s="94"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S142" s="32">
        <f>S140-S141</f>
        <v>24045</v>
      </c>
      <c r="T142" s="1">
        <f>S142*T140/S140</f>
        <v>109887412.99720834</v>
      </c>
      <c r="U142" t="s">
        <v>25</v>
      </c>
      <c r="V142" s="120" t="s">
        <v>25</v>
      </c>
      <c r="W142" s="94"/>
      <c r="X142" s="120" t="s">
        <v>25</v>
      </c>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U143" t="s">
        <v>25</v>
      </c>
      <c r="W143" s="94"/>
      <c r="X143"/>
      <c r="Y143" t="s">
        <v>25</v>
      </c>
      <c r="Z143" t="s">
        <v>25</v>
      </c>
      <c r="AA143" t="s">
        <v>25</v>
      </c>
      <c r="AB143" t="s">
        <v>25</v>
      </c>
      <c r="AI143" s="20">
        <v>123</v>
      </c>
      <c r="AJ143" s="115" t="s">
        <v>4730</v>
      </c>
      <c r="AK143" s="115">
        <v>600000</v>
      </c>
      <c r="AL143" s="20">
        <v>1</v>
      </c>
      <c r="AM143" s="20">
        <f t="shared" si="69"/>
        <v>844</v>
      </c>
      <c r="AN143" s="115">
        <f t="shared" si="66"/>
        <v>506400000</v>
      </c>
      <c r="AO143" s="20"/>
    </row>
    <row r="144" spans="7:44">
      <c r="K144" s="94"/>
      <c r="L144" s="94"/>
      <c r="R144" s="94" t="s">
        <v>25</v>
      </c>
      <c r="S144" s="94"/>
      <c r="T144" s="94"/>
      <c r="U144" s="94"/>
      <c r="V144" s="279" t="s">
        <v>4405</v>
      </c>
      <c r="W144" s="279" t="s">
        <v>4418</v>
      </c>
      <c r="X144" s="279" t="s">
        <v>4419</v>
      </c>
      <c r="Y144" t="s">
        <v>25</v>
      </c>
      <c r="Z144" t="s">
        <v>25</v>
      </c>
      <c r="AB144" t="s">
        <v>25</v>
      </c>
      <c r="AI144" s="20">
        <v>124</v>
      </c>
      <c r="AJ144" s="115" t="s">
        <v>4733</v>
      </c>
      <c r="AK144" s="115">
        <v>30000</v>
      </c>
      <c r="AL144" s="20">
        <v>3</v>
      </c>
      <c r="AM144" s="20">
        <f t="shared" si="69"/>
        <v>843</v>
      </c>
      <c r="AN144" s="115">
        <f t="shared" si="66"/>
        <v>25290000</v>
      </c>
      <c r="AO144" s="20"/>
    </row>
    <row r="145" spans="5:45">
      <c r="R145" s="94"/>
      <c r="S145" s="94"/>
      <c r="T145" s="94"/>
      <c r="U145" s="120">
        <f>W146-W151</f>
        <v>2605982</v>
      </c>
      <c r="V145" s="279" t="s">
        <v>743</v>
      </c>
      <c r="W145" s="279">
        <v>1493085</v>
      </c>
      <c r="X145" s="88">
        <f>W145*$U$516</f>
        <v>4034641376.3676844</v>
      </c>
      <c r="Y145">
        <f>X145*100/$X$151</f>
        <v>34.544216972530236</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U146" s="120"/>
      <c r="V146" s="279" t="s">
        <v>4407</v>
      </c>
      <c r="W146" s="279">
        <v>2605982</v>
      </c>
      <c r="X146" s="88">
        <f>W146*$U$516</f>
        <v>7041931841.3013401</v>
      </c>
      <c r="Y146" s="94">
        <f>X146*100/$X$151</f>
        <v>60.292352836247296</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T147" t="s">
        <v>25</v>
      </c>
      <c r="U147" s="94">
        <f>W145-W151</f>
        <v>1493085</v>
      </c>
      <c r="V147" s="279" t="s">
        <v>4406</v>
      </c>
      <c r="W147" s="279">
        <v>48659</v>
      </c>
      <c r="X147" s="88">
        <f>W147*$U$516</f>
        <v>131487232.63087845</v>
      </c>
      <c r="Y147" s="94">
        <f>X147*100/$X$151</f>
        <v>1.1257812205375772</v>
      </c>
      <c r="Z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t="s">
        <v>25</v>
      </c>
      <c r="U148" s="94"/>
      <c r="V148" s="279" t="s">
        <v>1069</v>
      </c>
      <c r="W148" s="279">
        <v>174517</v>
      </c>
      <c r="X148" s="88">
        <f>W148*$U$516</f>
        <v>471583003.70009691</v>
      </c>
      <c r="Y148" s="94">
        <f>X148*100/$X$151</f>
        <v>4.0376489706848968</v>
      </c>
      <c r="AA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U149" s="94"/>
      <c r="V149" s="279"/>
      <c r="W149" s="279"/>
      <c r="X149" s="279"/>
      <c r="Y149" s="113"/>
      <c r="Z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t="s">
        <v>25</v>
      </c>
      <c r="T150" t="s">
        <v>25</v>
      </c>
      <c r="U150" s="94"/>
      <c r="V150" s="87"/>
      <c r="W150" s="87">
        <f>SUM(W145:W148)</f>
        <v>4322243</v>
      </c>
      <c r="X150" s="87"/>
      <c r="Y150" s="112" t="s">
        <v>25</v>
      </c>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t="s">
        <v>25</v>
      </c>
      <c r="S151" s="94"/>
      <c r="T151" s="94" t="s">
        <v>25</v>
      </c>
      <c r="U151" s="94" t="s">
        <v>25</v>
      </c>
      <c r="V151" s="87"/>
      <c r="W151" s="87">
        <f>W150-V513</f>
        <v>0</v>
      </c>
      <c r="X151" s="140">
        <f>SUM(X145:X148)</f>
        <v>11679643454</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c r="S152" s="94"/>
      <c r="T152" s="94"/>
      <c r="U152" s="94" t="s">
        <v>25</v>
      </c>
      <c r="V152" s="87"/>
      <c r="W152" s="87" t="s">
        <v>5816</v>
      </c>
      <c r="X152" s="140">
        <f>S163-X148</f>
        <v>77367726.299903095</v>
      </c>
      <c r="Y152" s="94"/>
      <c r="Z152" t="s">
        <v>25</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c r="U153" s="94" t="s">
        <v>25</v>
      </c>
      <c r="V153" s="87"/>
      <c r="W153" s="87" t="s">
        <v>5815</v>
      </c>
      <c r="X153" s="140">
        <f>X147-X152</f>
        <v>54119506.330975354</v>
      </c>
      <c r="Y153" s="94"/>
      <c r="AA153" t="s">
        <v>25</v>
      </c>
      <c r="AB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t="s">
        <v>25</v>
      </c>
      <c r="S154" s="94"/>
      <c r="T154" s="94" t="s">
        <v>25</v>
      </c>
      <c r="U154" s="94"/>
      <c r="V154" s="87"/>
      <c r="W154" s="87" t="s">
        <v>4918</v>
      </c>
      <c r="X154" s="140">
        <f>X145+X153-S162</f>
        <v>-43874000.301340103</v>
      </c>
      <c r="Y154" s="94"/>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V155" s="87"/>
      <c r="W155" s="87"/>
      <c r="X155" s="140"/>
      <c r="Y155" s="113"/>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c r="W156" s="94"/>
      <c r="Z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c r="S157" s="94"/>
      <c r="T157" s="94"/>
      <c r="U157" s="94" t="s">
        <v>25</v>
      </c>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T158" s="94" t="s">
        <v>25</v>
      </c>
      <c r="U158" s="94"/>
      <c r="W158" s="94"/>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7" t="s">
        <v>180</v>
      </c>
      <c r="V159" s="97" t="s">
        <v>4431</v>
      </c>
      <c r="W159" s="97" t="s">
        <v>4432</v>
      </c>
      <c r="X159" s="97" t="s">
        <v>4442</v>
      </c>
      <c r="Y159" s="97" t="s">
        <v>8</v>
      </c>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111" t="s">
        <v>4417</v>
      </c>
      <c r="V160" s="54">
        <v>1000000</v>
      </c>
      <c r="W160" s="111">
        <v>239.024</v>
      </c>
      <c r="X160" s="111">
        <f t="shared" ref="X160:X261" si="78">V160*W160</f>
        <v>239024000</v>
      </c>
      <c r="Y160" s="97"/>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36" t="s">
        <v>4510</v>
      </c>
      <c r="S161" s="93">
        <f>SUM(N45:N53)</f>
        <v>7022675334</v>
      </c>
      <c r="U161" s="166" t="s">
        <v>4399</v>
      </c>
      <c r="V161" s="54">
        <v>5904</v>
      </c>
      <c r="W161" s="111">
        <v>237.148</v>
      </c>
      <c r="X161" s="111">
        <f t="shared" si="78"/>
        <v>1400121.7919999999</v>
      </c>
      <c r="Y161" s="97" t="s">
        <v>743</v>
      </c>
      <c r="AA161" t="s">
        <v>25</v>
      </c>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R162" s="97" t="s">
        <v>4408</v>
      </c>
      <c r="S162" s="93">
        <f>SUM(N21:N26)</f>
        <v>4132634883</v>
      </c>
      <c r="U162" s="166" t="s">
        <v>4205</v>
      </c>
      <c r="V162" s="166">
        <v>1000</v>
      </c>
      <c r="W162" s="111">
        <v>247.393</v>
      </c>
      <c r="X162" s="111">
        <f t="shared" si="78"/>
        <v>247393</v>
      </c>
      <c r="Y162" s="97" t="s">
        <v>743</v>
      </c>
      <c r="Z162" t="s">
        <v>25</v>
      </c>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7" t="s">
        <v>4409</v>
      </c>
      <c r="S163" s="93">
        <f>SUM(N29:N33)</f>
        <v>548950730</v>
      </c>
      <c r="U163" s="386" t="s">
        <v>4443</v>
      </c>
      <c r="V163" s="386">
        <v>8071</v>
      </c>
      <c r="W163" s="90">
        <v>247.797</v>
      </c>
      <c r="X163" s="90">
        <f t="shared" si="78"/>
        <v>1999969.5870000001</v>
      </c>
      <c r="Y163" s="89" t="s">
        <v>4406</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7" t="s">
        <v>4410</v>
      </c>
      <c r="S164" s="93">
        <f>N44</f>
        <v>62</v>
      </c>
      <c r="U164" s="166" t="s">
        <v>4443</v>
      </c>
      <c r="V164" s="166">
        <v>53672</v>
      </c>
      <c r="W164" s="111">
        <v>247.797</v>
      </c>
      <c r="X164" s="111">
        <f t="shared" si="78"/>
        <v>13299760.584000001</v>
      </c>
      <c r="Y164" s="97" t="s">
        <v>452</v>
      </c>
      <c r="Z164" t="s">
        <v>25</v>
      </c>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97" t="s">
        <v>4411</v>
      </c>
      <c r="S165" s="93">
        <f>N20</f>
        <v>217</v>
      </c>
      <c r="U165" s="386" t="s">
        <v>4451</v>
      </c>
      <c r="V165" s="386">
        <v>4099</v>
      </c>
      <c r="W165" s="90">
        <v>243.93</v>
      </c>
      <c r="X165" s="90">
        <f t="shared" si="78"/>
        <v>999869.07000000007</v>
      </c>
      <c r="Y165" s="89" t="s">
        <v>4406</v>
      </c>
      <c r="AB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4412</v>
      </c>
      <c r="S166" s="93">
        <f>N28</f>
        <v>169</v>
      </c>
      <c r="U166" s="166" t="s">
        <v>4451</v>
      </c>
      <c r="V166" s="166">
        <v>9301</v>
      </c>
      <c r="W166" s="111">
        <v>243.93</v>
      </c>
      <c r="X166" s="111">
        <f t="shared" si="78"/>
        <v>2268792.9300000002</v>
      </c>
      <c r="Y166" s="97" t="s">
        <v>452</v>
      </c>
      <c r="AA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v>416108</v>
      </c>
      <c r="Q167" s="112"/>
      <c r="R167" s="97"/>
      <c r="S167" s="93"/>
      <c r="T167" t="s">
        <v>25</v>
      </c>
      <c r="U167" s="386" t="s">
        <v>4455</v>
      </c>
      <c r="V167" s="386">
        <v>8334</v>
      </c>
      <c r="W167" s="90">
        <v>239.97</v>
      </c>
      <c r="X167" s="90">
        <f t="shared" si="78"/>
        <v>1999909.98</v>
      </c>
      <c r="Y167" s="89" t="s">
        <v>4406</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5049</v>
      </c>
      <c r="S168" s="93">
        <v>0</v>
      </c>
      <c r="U168" s="166" t="s">
        <v>4204</v>
      </c>
      <c r="V168" s="166">
        <v>29041</v>
      </c>
      <c r="W168" s="111">
        <v>233.45</v>
      </c>
      <c r="X168" s="111">
        <f t="shared" si="78"/>
        <v>6779621.4499999993</v>
      </c>
      <c r="Y168" s="97" t="s">
        <v>743</v>
      </c>
      <c r="Z168" s="120"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f>P167+S169</f>
        <v>413432</v>
      </c>
      <c r="Q169" s="112"/>
      <c r="R169" s="97" t="s">
        <v>6493</v>
      </c>
      <c r="S169" s="93">
        <v>-2676</v>
      </c>
      <c r="T169" s="94"/>
      <c r="U169" s="386" t="s">
        <v>977</v>
      </c>
      <c r="V169" s="386">
        <v>12337</v>
      </c>
      <c r="W169" s="90">
        <v>243.16300000000001</v>
      </c>
      <c r="X169" s="90">
        <f t="shared" si="78"/>
        <v>2999901.9310000003</v>
      </c>
      <c r="Y169" s="89" t="s">
        <v>4406</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97" t="s">
        <v>6990</v>
      </c>
      <c r="S170" s="93">
        <f>-(10*P53+8479*P48)</f>
        <v>-24615265</v>
      </c>
      <c r="T170" s="94"/>
      <c r="U170" s="166" t="s">
        <v>4528</v>
      </c>
      <c r="V170" s="166">
        <v>-16118</v>
      </c>
      <c r="W170" s="111">
        <v>248.17</v>
      </c>
      <c r="X170" s="111">
        <f t="shared" si="78"/>
        <v>-4000004.0599999996</v>
      </c>
      <c r="Y170" s="97" t="s">
        <v>743</v>
      </c>
      <c r="Z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36"/>
      <c r="S171" s="93"/>
      <c r="T171" s="113" t="s">
        <v>25</v>
      </c>
      <c r="U171" s="166" t="s">
        <v>4549</v>
      </c>
      <c r="V171" s="166">
        <v>101681</v>
      </c>
      <c r="W171" s="111">
        <v>246.5711</v>
      </c>
      <c r="X171" s="111">
        <f t="shared" si="78"/>
        <v>25071596.019099999</v>
      </c>
      <c r="Y171" s="97" t="s">
        <v>452</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c r="S172" s="93"/>
      <c r="T172" s="120" t="s">
        <v>25</v>
      </c>
      <c r="U172" s="166" t="s">
        <v>4553</v>
      </c>
      <c r="V172" s="166">
        <v>66606</v>
      </c>
      <c r="W172" s="111">
        <v>251.131</v>
      </c>
      <c r="X172" s="111">
        <f t="shared" si="78"/>
        <v>16726831.386</v>
      </c>
      <c r="Y172" s="97" t="s">
        <v>743</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t="s">
        <v>5050</v>
      </c>
      <c r="S173" s="93">
        <v>0</v>
      </c>
      <c r="T173" s="120"/>
      <c r="U173" s="166" t="s">
        <v>4558</v>
      </c>
      <c r="V173" s="166">
        <v>172025</v>
      </c>
      <c r="W173" s="111">
        <v>245.52809999999999</v>
      </c>
      <c r="X173" s="111">
        <f t="shared" si="78"/>
        <v>42236971.402499996</v>
      </c>
      <c r="Y173" s="97" t="s">
        <v>452</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4558</v>
      </c>
      <c r="V174" s="166">
        <v>189227</v>
      </c>
      <c r="W174" s="111">
        <v>245.52809999999999</v>
      </c>
      <c r="X174" s="111">
        <f t="shared" si="78"/>
        <v>46460545.778700002</v>
      </c>
      <c r="Y174" s="97" t="s">
        <v>743</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c r="S175" s="93"/>
      <c r="T175" s="113"/>
      <c r="U175" s="166" t="s">
        <v>4559</v>
      </c>
      <c r="V175" s="166">
        <v>79720</v>
      </c>
      <c r="W175" s="111">
        <v>246.6568</v>
      </c>
      <c r="X175" s="111">
        <f t="shared" si="78"/>
        <v>19663480.096000001</v>
      </c>
      <c r="Y175" s="97" t="s">
        <v>452</v>
      </c>
      <c r="Z175" s="8" t="s">
        <v>25</v>
      </c>
      <c r="AA175" t="s">
        <v>25</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t="s">
        <v>4416</v>
      </c>
      <c r="S176" s="93">
        <f>SUM(S161:S175)</f>
        <v>11679643454</v>
      </c>
      <c r="U176" s="166" t="s">
        <v>4559</v>
      </c>
      <c r="V176" s="166">
        <v>79720</v>
      </c>
      <c r="W176" s="111">
        <v>246.6568</v>
      </c>
      <c r="X176" s="111">
        <f t="shared" si="78"/>
        <v>19663480.096000001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4"/>
      <c r="U177" s="166" t="s">
        <v>4580</v>
      </c>
      <c r="V177" s="166">
        <v>17769</v>
      </c>
      <c r="W177" s="111">
        <v>246.17877999999999</v>
      </c>
      <c r="X177" s="111">
        <f t="shared" si="78"/>
        <v>4374350.7418200001</v>
      </c>
      <c r="Y177" s="97" t="s">
        <v>743</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U178" s="166" t="s">
        <v>4580</v>
      </c>
      <c r="V178" s="166">
        <v>17769</v>
      </c>
      <c r="W178" s="111">
        <v>246.17877999999999</v>
      </c>
      <c r="X178" s="111">
        <f t="shared" si="78"/>
        <v>4374350.7418200001</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t="s">
        <v>8</v>
      </c>
      <c r="S179" s="206" t="s">
        <v>4406</v>
      </c>
      <c r="T179" s="206"/>
      <c r="U179" s="386" t="s">
        <v>4582</v>
      </c>
      <c r="V179" s="386">
        <v>12438</v>
      </c>
      <c r="W179" s="90">
        <v>241.20465999999999</v>
      </c>
      <c r="X179" s="90">
        <f t="shared" si="78"/>
        <v>3000103.5610799999</v>
      </c>
      <c r="Y179" s="89" t="s">
        <v>4406</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71" t="s">
        <v>180</v>
      </c>
      <c r="T180" s="206" t="s">
        <v>267</v>
      </c>
      <c r="U180" s="166" t="s">
        <v>4591</v>
      </c>
      <c r="V180" s="166">
        <v>27363</v>
      </c>
      <c r="W180" s="111">
        <v>239.3886</v>
      </c>
      <c r="X180" s="111">
        <f t="shared" si="78"/>
        <v>6550390.2617999995</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4399</v>
      </c>
      <c r="T181" s="111">
        <v>3000000</v>
      </c>
      <c r="U181" s="166" t="s">
        <v>4591</v>
      </c>
      <c r="V181" s="166">
        <v>27363</v>
      </c>
      <c r="W181" s="111">
        <v>239.3886</v>
      </c>
      <c r="X181" s="111">
        <f t="shared" si="78"/>
        <v>6550390.2617999995</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4443</v>
      </c>
      <c r="T182" s="111">
        <v>2000000</v>
      </c>
      <c r="U182" s="204" t="s">
        <v>4593</v>
      </c>
      <c r="V182" s="204">
        <v>27437</v>
      </c>
      <c r="W182" s="111">
        <v>242.4015</v>
      </c>
      <c r="X182" s="111">
        <f t="shared" si="78"/>
        <v>6650769.9555000002</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4451</v>
      </c>
      <c r="T183" s="111">
        <v>1000000</v>
      </c>
      <c r="U183" s="204" t="s">
        <v>4593</v>
      </c>
      <c r="V183" s="204">
        <v>29104</v>
      </c>
      <c r="W183" s="111">
        <v>242.4015</v>
      </c>
      <c r="X183" s="111">
        <f t="shared" si="78"/>
        <v>7054853.2560000001</v>
      </c>
      <c r="Y183" s="97" t="s">
        <v>452</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4455</v>
      </c>
      <c r="T184" s="111">
        <v>2000000</v>
      </c>
      <c r="U184" s="206" t="s">
        <v>4609</v>
      </c>
      <c r="V184" s="206">
        <v>8991</v>
      </c>
      <c r="W184" s="111">
        <v>238.64867000000001</v>
      </c>
      <c r="X184" s="111">
        <f t="shared" si="78"/>
        <v>2145690.19197</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977</v>
      </c>
      <c r="T185" s="111">
        <v>3000000</v>
      </c>
      <c r="U185" s="206" t="s">
        <v>4609</v>
      </c>
      <c r="V185" s="206">
        <v>8991</v>
      </c>
      <c r="W185" s="111">
        <v>238.64867000000001</v>
      </c>
      <c r="X185" s="111">
        <f t="shared" si="78"/>
        <v>2145690.19197</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4582</v>
      </c>
      <c r="T186" s="111">
        <v>3000000</v>
      </c>
      <c r="U186" s="206" t="s">
        <v>4620</v>
      </c>
      <c r="V186" s="206">
        <v>18170</v>
      </c>
      <c r="W186" s="111">
        <v>240.48475999999999</v>
      </c>
      <c r="X186" s="111">
        <f t="shared" si="78"/>
        <v>4369608.0892000003</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4749</v>
      </c>
      <c r="S187" s="206" t="s">
        <v>4744</v>
      </c>
      <c r="T187" s="111">
        <v>-800000</v>
      </c>
      <c r="U187" s="206" t="s">
        <v>4620</v>
      </c>
      <c r="V187" s="206">
        <v>18170</v>
      </c>
      <c r="W187" s="111">
        <v>240.48475999999999</v>
      </c>
      <c r="X187" s="111">
        <f t="shared" si="78"/>
        <v>4369608.0892000003</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4744</v>
      </c>
      <c r="T188" s="111">
        <v>-900000</v>
      </c>
      <c r="U188" s="206" t="s">
        <v>4622</v>
      </c>
      <c r="V188" s="206">
        <v>36797</v>
      </c>
      <c r="W188" s="111">
        <v>239.0822</v>
      </c>
      <c r="X188" s="111">
        <f t="shared" si="78"/>
        <v>8797507.7134000007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t="s">
        <v>4750</v>
      </c>
      <c r="S189" s="206" t="s">
        <v>964</v>
      </c>
      <c r="T189" s="111">
        <v>-1100000</v>
      </c>
      <c r="U189" s="206" t="s">
        <v>4622</v>
      </c>
      <c r="V189" s="206">
        <v>36797</v>
      </c>
      <c r="W189" s="111">
        <v>239.0822</v>
      </c>
      <c r="X189" s="111">
        <f t="shared" si="78"/>
        <v>8797507.7134000007</v>
      </c>
      <c r="Y189" s="97" t="s">
        <v>452</v>
      </c>
      <c r="AA189" t="s">
        <v>25</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88" t="s">
        <v>1069</v>
      </c>
      <c r="S190" s="188" t="s">
        <v>4772</v>
      </c>
      <c r="T190" s="193">
        <v>30000000</v>
      </c>
      <c r="U190" s="206" t="s">
        <v>4631</v>
      </c>
      <c r="V190" s="206">
        <v>28066</v>
      </c>
      <c r="W190" s="111">
        <v>237.56970000000001</v>
      </c>
      <c r="X190" s="111">
        <f t="shared" si="78"/>
        <v>6667631.2002000008</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9" t="s">
        <v>4847</v>
      </c>
      <c r="S191" s="19" t="s">
        <v>4845</v>
      </c>
      <c r="T191" s="115">
        <v>2000000</v>
      </c>
      <c r="U191" s="206" t="s">
        <v>4631</v>
      </c>
      <c r="V191" s="206">
        <v>28066</v>
      </c>
      <c r="W191" s="111">
        <v>237.56970000000001</v>
      </c>
      <c r="X191" s="111">
        <f t="shared" si="78"/>
        <v>6667631.2002000008</v>
      </c>
      <c r="Y191" s="97" t="s">
        <v>452</v>
      </c>
      <c r="Z191" t="s">
        <v>25</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t="s">
        <v>4868</v>
      </c>
      <c r="S192" s="187" t="s">
        <v>4867</v>
      </c>
      <c r="T192" s="186">
        <v>480105</v>
      </c>
      <c r="U192" s="206" t="s">
        <v>3666</v>
      </c>
      <c r="V192" s="206">
        <v>37457</v>
      </c>
      <c r="W192" s="111">
        <v>239.77</v>
      </c>
      <c r="X192" s="111">
        <f t="shared" si="78"/>
        <v>8981064.8900000006</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87"/>
      <c r="S193" s="187" t="s">
        <v>4908</v>
      </c>
      <c r="T193" s="186">
        <v>30500000</v>
      </c>
      <c r="U193" s="206" t="s">
        <v>3666</v>
      </c>
      <c r="V193" s="206">
        <v>37457</v>
      </c>
      <c r="W193" s="111">
        <v>239.77</v>
      </c>
      <c r="X193" s="111">
        <f t="shared" si="78"/>
        <v>8981064.8900000006</v>
      </c>
      <c r="Y193" s="97" t="s">
        <v>452</v>
      </c>
      <c r="Z193" s="94"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4936</v>
      </c>
      <c r="S194" s="19" t="s">
        <v>4931</v>
      </c>
      <c r="T194" s="115">
        <v>-400000</v>
      </c>
      <c r="U194" s="206" t="s">
        <v>4643</v>
      </c>
      <c r="V194" s="206">
        <v>38412</v>
      </c>
      <c r="W194" s="111">
        <v>239.03</v>
      </c>
      <c r="X194" s="111">
        <f t="shared" si="78"/>
        <v>9181620.3599999994</v>
      </c>
      <c r="Y194" s="97" t="s">
        <v>743</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7" t="s">
        <v>5045</v>
      </c>
      <c r="S195" s="187" t="s">
        <v>4966</v>
      </c>
      <c r="T195" s="186">
        <v>-349550</v>
      </c>
      <c r="U195" s="206" t="s">
        <v>4643</v>
      </c>
      <c r="V195" s="206">
        <v>38412</v>
      </c>
      <c r="W195" s="111">
        <v>239.03</v>
      </c>
      <c r="X195" s="111">
        <f t="shared" si="78"/>
        <v>9181620.3599999994</v>
      </c>
      <c r="Y195" s="97" t="s">
        <v>452</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5106</v>
      </c>
      <c r="T196" s="115">
        <v>-200000</v>
      </c>
      <c r="U196" s="206" t="s">
        <v>4646</v>
      </c>
      <c r="V196" s="206">
        <v>49555</v>
      </c>
      <c r="W196" s="111">
        <v>238.345</v>
      </c>
      <c r="X196" s="111">
        <f t="shared" si="78"/>
        <v>11811186.475</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5138</v>
      </c>
      <c r="T197" s="115">
        <v>-122000</v>
      </c>
      <c r="U197" s="206" t="s">
        <v>4646</v>
      </c>
      <c r="V197" s="206">
        <v>49555</v>
      </c>
      <c r="W197" s="111">
        <v>238.345</v>
      </c>
      <c r="X197" s="111">
        <f t="shared" si="78"/>
        <v>11811186.475</v>
      </c>
      <c r="Y197" s="97" t="s">
        <v>452</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5146</v>
      </c>
      <c r="T198" s="115">
        <v>-700000</v>
      </c>
      <c r="U198" s="206" t="s">
        <v>4659</v>
      </c>
      <c r="V198" s="206">
        <v>160187</v>
      </c>
      <c r="W198" s="111">
        <v>257.49799999999999</v>
      </c>
      <c r="X198" s="111">
        <f t="shared" si="78"/>
        <v>41247832.126000002</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4936</v>
      </c>
      <c r="S199" s="19" t="s">
        <v>5156</v>
      </c>
      <c r="T199" s="115">
        <v>-60000</v>
      </c>
      <c r="U199" s="206" t="s">
        <v>4659</v>
      </c>
      <c r="V199" s="206">
        <v>160187</v>
      </c>
      <c r="W199" s="111">
        <v>257.49799999999999</v>
      </c>
      <c r="X199" s="111">
        <f t="shared" si="78"/>
        <v>41247832.126000002</v>
      </c>
      <c r="Y199" s="97" t="s">
        <v>452</v>
      </c>
      <c r="AB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4406</v>
      </c>
      <c r="S200" s="19" t="s">
        <v>5215</v>
      </c>
      <c r="T200" s="115">
        <v>700000</v>
      </c>
      <c r="U200" s="206" t="s">
        <v>4666</v>
      </c>
      <c r="V200" s="206">
        <v>144401</v>
      </c>
      <c r="W200" s="111">
        <v>258.5061</v>
      </c>
      <c r="X200" s="111">
        <f t="shared" si="78"/>
        <v>37328539.346100003</v>
      </c>
      <c r="Y200" s="97" t="s">
        <v>743</v>
      </c>
      <c r="AA200" t="s">
        <v>25</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87" t="s">
        <v>1069</v>
      </c>
      <c r="S201" s="187" t="s">
        <v>5234</v>
      </c>
      <c r="T201" s="186">
        <v>40000000</v>
      </c>
      <c r="U201" s="206" t="s">
        <v>4666</v>
      </c>
      <c r="V201" s="206">
        <v>144401</v>
      </c>
      <c r="W201" s="111">
        <v>258.5061</v>
      </c>
      <c r="X201" s="111">
        <f t="shared" si="78"/>
        <v>37328539.346100003</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4406</v>
      </c>
      <c r="S202" s="19" t="s">
        <v>5238</v>
      </c>
      <c r="T202" s="115">
        <v>-800000</v>
      </c>
      <c r="U202" s="166" t="s">
        <v>4672</v>
      </c>
      <c r="V202" s="166">
        <v>196500</v>
      </c>
      <c r="W202" s="111">
        <v>254.452</v>
      </c>
      <c r="X202" s="111">
        <f t="shared" si="78"/>
        <v>49999818</v>
      </c>
      <c r="Y202" s="97" t="s">
        <v>4675</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206" t="s">
        <v>4406</v>
      </c>
      <c r="S203" s="206" t="s">
        <v>5321</v>
      </c>
      <c r="T203" s="115">
        <v>700000</v>
      </c>
      <c r="U203" s="206" t="s">
        <v>4672</v>
      </c>
      <c r="V203" s="206">
        <v>2561</v>
      </c>
      <c r="W203" s="111">
        <v>254.536</v>
      </c>
      <c r="X203" s="111">
        <f t="shared" si="78"/>
        <v>651866.696</v>
      </c>
      <c r="Y203" s="97" t="s">
        <v>4676</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5335</v>
      </c>
      <c r="T204" s="186">
        <v>-26000000</v>
      </c>
      <c r="U204" s="206" t="s">
        <v>4716</v>
      </c>
      <c r="V204" s="206">
        <v>-11795</v>
      </c>
      <c r="W204" s="111">
        <v>254.334</v>
      </c>
      <c r="X204" s="111">
        <f t="shared" si="78"/>
        <v>-2999869.5300000003</v>
      </c>
      <c r="Y204" s="97" t="s">
        <v>4717</v>
      </c>
      <c r="AB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5339</v>
      </c>
      <c r="T205" s="186">
        <v>-95900000</v>
      </c>
      <c r="U205" s="206" t="s">
        <v>4716</v>
      </c>
      <c r="V205" s="206">
        <v>11795</v>
      </c>
      <c r="W205" s="111">
        <v>254.334</v>
      </c>
      <c r="X205" s="111">
        <f t="shared" si="78"/>
        <v>2999869.5300000003</v>
      </c>
      <c r="Y205" s="97" t="s">
        <v>4718</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5337</v>
      </c>
      <c r="S206" s="187" t="s">
        <v>5340</v>
      </c>
      <c r="T206" s="186">
        <v>-28950000</v>
      </c>
      <c r="U206" s="206" t="s">
        <v>4730</v>
      </c>
      <c r="V206" s="206">
        <v>260</v>
      </c>
      <c r="W206" s="111">
        <v>263.19</v>
      </c>
      <c r="X206" s="111">
        <f t="shared" si="78"/>
        <v>68429.399999999994</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5356</v>
      </c>
      <c r="S207" s="187" t="s">
        <v>5354</v>
      </c>
      <c r="T207" s="186">
        <v>1896188</v>
      </c>
      <c r="U207" s="206" t="s">
        <v>4739</v>
      </c>
      <c r="V207" s="206">
        <v>15257</v>
      </c>
      <c r="W207" s="111">
        <v>262.19018</v>
      </c>
      <c r="X207" s="111">
        <f t="shared" si="78"/>
        <v>4000235.57626</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5522</v>
      </c>
      <c r="S208" s="187" t="s">
        <v>4209</v>
      </c>
      <c r="T208" s="186">
        <v>13752871.322800001</v>
      </c>
      <c r="U208" s="206" t="s">
        <v>4739</v>
      </c>
      <c r="V208" s="206">
        <v>8444</v>
      </c>
      <c r="W208" s="111">
        <v>266.43029999999999</v>
      </c>
      <c r="X208" s="111">
        <f t="shared" si="78"/>
        <v>2249737.4531999999</v>
      </c>
      <c r="Y208" s="97" t="s">
        <v>452</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9" t="s">
        <v>5534</v>
      </c>
      <c r="S209" s="19" t="s">
        <v>5531</v>
      </c>
      <c r="T209" s="115">
        <v>3123901.3702000002</v>
      </c>
      <c r="U209" s="386" t="s">
        <v>4744</v>
      </c>
      <c r="V209" s="386">
        <v>-6209</v>
      </c>
      <c r="W209" s="90">
        <v>273.79649999999998</v>
      </c>
      <c r="X209" s="90">
        <f t="shared" si="78"/>
        <v>-1700002.4685</v>
      </c>
      <c r="Y209" s="89" t="s">
        <v>6646</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5863</v>
      </c>
      <c r="S210" s="187" t="s">
        <v>5606</v>
      </c>
      <c r="T210" s="186">
        <v>-322076.40905199997</v>
      </c>
      <c r="U210" s="206" t="s">
        <v>4744</v>
      </c>
      <c r="V210" s="206">
        <v>-8014</v>
      </c>
      <c r="W210" s="111">
        <v>273.79649999999998</v>
      </c>
      <c r="X210" s="111">
        <f t="shared" si="78"/>
        <v>-2194205.1510000001</v>
      </c>
      <c r="Y210" s="97" t="s">
        <v>743</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9" t="s">
        <v>4936</v>
      </c>
      <c r="S211" s="19" t="s">
        <v>5606</v>
      </c>
      <c r="T211" s="115">
        <v>-1500000</v>
      </c>
      <c r="U211" s="206" t="s">
        <v>4753</v>
      </c>
      <c r="V211" s="206">
        <v>-9176</v>
      </c>
      <c r="W211" s="111">
        <v>273.79649999999998</v>
      </c>
      <c r="X211" s="111">
        <f t="shared" si="78"/>
        <v>-2512356.6839999999</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5620</v>
      </c>
      <c r="S212" s="187" t="s">
        <v>5606</v>
      </c>
      <c r="T212" s="186">
        <v>15000000</v>
      </c>
      <c r="U212" s="206" t="s">
        <v>4753</v>
      </c>
      <c r="V212" s="206">
        <v>1087</v>
      </c>
      <c r="W212" s="111">
        <v>273.79649999999998</v>
      </c>
      <c r="X212" s="111">
        <f t="shared" si="78"/>
        <v>297616.79550000001</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5635</v>
      </c>
      <c r="S213" s="187" t="s">
        <v>5630</v>
      </c>
      <c r="T213" s="186">
        <v>-1500000</v>
      </c>
      <c r="U213" s="386" t="s">
        <v>964</v>
      </c>
      <c r="V213" s="386">
        <v>-4017</v>
      </c>
      <c r="W213" s="90">
        <v>273.79649999999998</v>
      </c>
      <c r="X213" s="90">
        <f t="shared" si="78"/>
        <v>-1099840.5404999999</v>
      </c>
      <c r="Y213" s="89" t="s">
        <v>4406</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5714</v>
      </c>
      <c r="S214" s="187" t="s">
        <v>5712</v>
      </c>
      <c r="T214" s="186">
        <v>-70000</v>
      </c>
      <c r="U214" s="206" t="s">
        <v>964</v>
      </c>
      <c r="V214" s="206">
        <v>4017</v>
      </c>
      <c r="W214" s="111">
        <v>273.79649999999998</v>
      </c>
      <c r="X214" s="111">
        <f t="shared" si="78"/>
        <v>1099840.5404999999</v>
      </c>
      <c r="Y214" s="97" t="s">
        <v>452</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5720</v>
      </c>
      <c r="S215" s="187" t="s">
        <v>5718</v>
      </c>
      <c r="T215" s="186">
        <v>1300000</v>
      </c>
      <c r="U215" s="206" t="s">
        <v>4759</v>
      </c>
      <c r="V215" s="206">
        <v>3137</v>
      </c>
      <c r="W215" s="111">
        <v>283.69110000000001</v>
      </c>
      <c r="X215" s="111">
        <f t="shared" si="78"/>
        <v>889938.98070000007</v>
      </c>
      <c r="Y215" s="97" t="s">
        <v>452</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60</v>
      </c>
      <c r="S216" s="187" t="s">
        <v>5726</v>
      </c>
      <c r="T216" s="186">
        <v>90000000</v>
      </c>
      <c r="U216" s="206" t="s">
        <v>4772</v>
      </c>
      <c r="V216" s="206">
        <v>101933</v>
      </c>
      <c r="W216" s="111">
        <v>294.30973999999998</v>
      </c>
      <c r="X216" s="111">
        <f t="shared" si="78"/>
        <v>29999874.727419998</v>
      </c>
      <c r="Y216" s="97" t="s">
        <v>1069</v>
      </c>
      <c r="Z216" t="s">
        <v>25</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5812</v>
      </c>
      <c r="S217" s="187" t="s">
        <v>5808</v>
      </c>
      <c r="T217" s="186">
        <v>33832510.64875</v>
      </c>
      <c r="U217" s="206" t="s">
        <v>4779</v>
      </c>
      <c r="V217" s="206">
        <v>3407</v>
      </c>
      <c r="W217" s="111">
        <v>293.43799999999999</v>
      </c>
      <c r="X217" s="111">
        <f t="shared" si="78"/>
        <v>999743.26599999995</v>
      </c>
      <c r="Y217" s="97" t="s">
        <v>452</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5829</v>
      </c>
      <c r="S218" s="187" t="s">
        <v>5826</v>
      </c>
      <c r="T218" s="186">
        <v>21634932</v>
      </c>
      <c r="U218" s="206" t="s">
        <v>4780</v>
      </c>
      <c r="V218" s="206">
        <v>68796</v>
      </c>
      <c r="W218" s="111">
        <v>293.53250000000003</v>
      </c>
      <c r="X218" s="111">
        <f t="shared" si="78"/>
        <v>20193861.870000001</v>
      </c>
      <c r="Y218" s="97" t="s">
        <v>743</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4732</v>
      </c>
      <c r="S219" s="187" t="s">
        <v>5826</v>
      </c>
      <c r="T219" s="186">
        <v>-22520813.151772</v>
      </c>
      <c r="U219" s="206" t="s">
        <v>4780</v>
      </c>
      <c r="V219" s="206">
        <v>154791</v>
      </c>
      <c r="W219" s="111">
        <v>293.53250000000003</v>
      </c>
      <c r="X219" s="111">
        <f t="shared" si="78"/>
        <v>45436189.207500003</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9" t="s">
        <v>6406</v>
      </c>
      <c r="S220" s="19" t="s">
        <v>6404</v>
      </c>
      <c r="T220" s="115">
        <v>-6000000</v>
      </c>
      <c r="U220" s="206" t="s">
        <v>4780</v>
      </c>
      <c r="V220" s="206">
        <v>-11923</v>
      </c>
      <c r="W220" s="111">
        <v>293.53250000000003</v>
      </c>
      <c r="X220" s="111">
        <f t="shared" si="78"/>
        <v>-3499787.9975000005</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5372</v>
      </c>
      <c r="S221" s="187" t="s">
        <v>6494</v>
      </c>
      <c r="T221" s="186">
        <v>130888.351165</v>
      </c>
      <c r="U221" s="206" t="s">
        <v>4792</v>
      </c>
      <c r="V221" s="206">
        <v>8424</v>
      </c>
      <c r="W221" s="111">
        <v>299.15170000000001</v>
      </c>
      <c r="X221" s="111">
        <f t="shared" si="78"/>
        <v>2520053.9208</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6602</v>
      </c>
      <c r="S222" s="187" t="s">
        <v>6598</v>
      </c>
      <c r="T222" s="186">
        <v>50000000</v>
      </c>
      <c r="U222" s="206" t="s">
        <v>4827</v>
      </c>
      <c r="V222" s="206">
        <v>15943</v>
      </c>
      <c r="W222" s="111">
        <v>307.34415000000001</v>
      </c>
      <c r="X222" s="111">
        <f t="shared" si="78"/>
        <v>4899987.78345</v>
      </c>
      <c r="Y222" s="97" t="s">
        <v>452</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t="s">
        <v>6634</v>
      </c>
      <c r="S223" s="19" t="s">
        <v>6632</v>
      </c>
      <c r="T223" s="115">
        <v>96000</v>
      </c>
      <c r="U223" s="206" t="s">
        <v>4840</v>
      </c>
      <c r="V223" s="206">
        <v>3741</v>
      </c>
      <c r="W223" s="111">
        <v>307.34415000000001</v>
      </c>
      <c r="X223" s="111">
        <f t="shared" si="78"/>
        <v>1149774.4651500001</v>
      </c>
      <c r="Y223" s="97" t="s">
        <v>452</v>
      </c>
      <c r="AA223" t="s">
        <v>25</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8"/>
        <v>-1999982.298</v>
      </c>
      <c r="Y224" s="97" t="s">
        <v>743</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4845</v>
      </c>
      <c r="V225" s="206">
        <v>6207</v>
      </c>
      <c r="W225" s="111">
        <v>322.214</v>
      </c>
      <c r="X225" s="111">
        <f t="shared" si="78"/>
        <v>1999982.298</v>
      </c>
      <c r="Y225" s="97" t="s">
        <v>4406</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4799</v>
      </c>
      <c r="V226" s="206">
        <v>776</v>
      </c>
      <c r="W226" s="111">
        <v>322.214</v>
      </c>
      <c r="X226" s="111">
        <f t="shared" si="78"/>
        <v>250038.06400000001</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c r="S227" s="19"/>
      <c r="T227" s="115"/>
      <c r="U227" s="206" t="s">
        <v>4867</v>
      </c>
      <c r="V227" s="206">
        <v>1524</v>
      </c>
      <c r="W227" s="111">
        <v>314.95999999999998</v>
      </c>
      <c r="X227" s="111">
        <f t="shared" si="78"/>
        <v>479999.04</v>
      </c>
      <c r="Y227" s="97" t="s">
        <v>1069</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t="s">
        <v>25</v>
      </c>
      <c r="S228" s="206"/>
      <c r="T228" s="111"/>
      <c r="U228" s="206" t="s">
        <v>4874</v>
      </c>
      <c r="V228" s="206">
        <v>4435</v>
      </c>
      <c r="W228" s="111">
        <v>316.4375</v>
      </c>
      <c r="X228" s="111">
        <f t="shared" si="78"/>
        <v>1403400.3125</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206"/>
      <c r="S229" s="206"/>
      <c r="T229" s="111">
        <f>SUM(T181:T228)</f>
        <v>160952957.13209102</v>
      </c>
      <c r="U229" s="206" t="s">
        <v>4877</v>
      </c>
      <c r="V229" s="206">
        <v>624</v>
      </c>
      <c r="W229" s="111">
        <v>320.5</v>
      </c>
      <c r="X229" s="111">
        <f t="shared" si="78"/>
        <v>199992</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41"/>
      <c r="S230" s="206"/>
      <c r="T230" s="206" t="s">
        <v>6</v>
      </c>
      <c r="U230" s="206" t="s">
        <v>4882</v>
      </c>
      <c r="V230" s="206">
        <v>1086</v>
      </c>
      <c r="W230" s="111">
        <v>317.55</v>
      </c>
      <c r="X230" s="111">
        <f t="shared" si="78"/>
        <v>344859.3</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c r="U231" s="206" t="s">
        <v>4887</v>
      </c>
      <c r="V231" s="206">
        <v>2820</v>
      </c>
      <c r="W231" s="111">
        <v>319.1096</v>
      </c>
      <c r="X231" s="111">
        <f t="shared" si="78"/>
        <v>899889.07200000004</v>
      </c>
      <c r="Y231" s="97" t="s">
        <v>452</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U232" s="206" t="s">
        <v>4890</v>
      </c>
      <c r="V232" s="206">
        <v>1145</v>
      </c>
      <c r="W232" s="111">
        <v>325.44</v>
      </c>
      <c r="X232" s="111">
        <f t="shared" si="78"/>
        <v>372628.8</v>
      </c>
      <c r="Y232" s="97" t="s">
        <v>452</v>
      </c>
      <c r="Z232" t="s">
        <v>25</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94" t="s">
        <v>25</v>
      </c>
      <c r="S233" s="94" t="s">
        <v>25</v>
      </c>
      <c r="T233" t="s">
        <v>25</v>
      </c>
      <c r="U233" s="206" t="s">
        <v>4898</v>
      </c>
      <c r="V233" s="206">
        <v>20153</v>
      </c>
      <c r="W233" s="111">
        <v>322</v>
      </c>
      <c r="X233" s="111">
        <f t="shared" si="78"/>
        <v>6489266</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T234" t="s">
        <v>25</v>
      </c>
      <c r="U234" s="206" t="s">
        <v>4908</v>
      </c>
      <c r="V234" s="206">
        <v>93720</v>
      </c>
      <c r="W234" s="111">
        <v>325.435</v>
      </c>
      <c r="X234" s="111">
        <f t="shared" si="78"/>
        <v>30499768.199999999</v>
      </c>
      <c r="Y234" s="97" t="s">
        <v>1069</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743</v>
      </c>
      <c r="S235" s="97"/>
      <c r="T235" t="s">
        <v>25</v>
      </c>
      <c r="U235" s="206" t="s">
        <v>4908</v>
      </c>
      <c r="V235" s="206">
        <v>20895</v>
      </c>
      <c r="W235" s="111">
        <v>325.435</v>
      </c>
      <c r="X235" s="111">
        <f t="shared" si="78"/>
        <v>6799964.3250000002</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4399</v>
      </c>
      <c r="S236" s="93">
        <v>172908000</v>
      </c>
      <c r="T236" t="s">
        <v>25</v>
      </c>
      <c r="U236" s="206" t="s">
        <v>4915</v>
      </c>
      <c r="V236" s="206">
        <v>2611</v>
      </c>
      <c r="W236" s="111">
        <v>325.435</v>
      </c>
      <c r="X236" s="111">
        <f t="shared" si="78"/>
        <v>849710.78500000003</v>
      </c>
      <c r="Y236" s="97" t="s">
        <v>743</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4430</v>
      </c>
      <c r="S237" s="93">
        <v>1400000</v>
      </c>
      <c r="U237" s="206" t="s">
        <v>4923</v>
      </c>
      <c r="V237" s="206">
        <v>6750</v>
      </c>
      <c r="W237" s="111">
        <v>339.3</v>
      </c>
      <c r="X237" s="111">
        <f t="shared" si="78"/>
        <v>2290275</v>
      </c>
      <c r="Y237" s="97" t="s">
        <v>743</v>
      </c>
      <c r="AB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4205</v>
      </c>
      <c r="S238" s="93">
        <v>247393</v>
      </c>
      <c r="T238" t="s">
        <v>25</v>
      </c>
      <c r="U238" s="206" t="s">
        <v>4931</v>
      </c>
      <c r="V238" s="206">
        <v>1850</v>
      </c>
      <c r="W238" s="111">
        <v>334.10050000000001</v>
      </c>
      <c r="X238" s="111">
        <f t="shared" si="78"/>
        <v>618085.92500000005</v>
      </c>
      <c r="Y238" s="97" t="s">
        <v>452</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4204</v>
      </c>
      <c r="S239" s="93">
        <v>6780000</v>
      </c>
      <c r="U239" s="206" t="s">
        <v>4931</v>
      </c>
      <c r="V239" s="206">
        <v>-1194</v>
      </c>
      <c r="W239" s="111">
        <v>335</v>
      </c>
      <c r="X239" s="111">
        <f t="shared" si="78"/>
        <v>-399990</v>
      </c>
      <c r="Y239" s="97" t="s">
        <v>4406</v>
      </c>
      <c r="Z239" t="s">
        <v>25</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4528</v>
      </c>
      <c r="S240" s="93">
        <v>-4000000</v>
      </c>
      <c r="U240" s="206" t="s">
        <v>4931</v>
      </c>
      <c r="V240" s="206">
        <v>1194</v>
      </c>
      <c r="W240" s="111">
        <v>335</v>
      </c>
      <c r="X240" s="111">
        <f t="shared" si="78"/>
        <v>399990</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4553</v>
      </c>
      <c r="S241" s="93">
        <v>16727037</v>
      </c>
      <c r="U241" s="206" t="s">
        <v>4938</v>
      </c>
      <c r="V241" s="206">
        <v>433</v>
      </c>
      <c r="W241" s="111">
        <v>345.68</v>
      </c>
      <c r="X241" s="111">
        <f t="shared" si="78"/>
        <v>149679.44</v>
      </c>
      <c r="Y241" s="97" t="s">
        <v>743</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4558</v>
      </c>
      <c r="S242" s="93">
        <v>46460683</v>
      </c>
      <c r="T242" t="s">
        <v>25</v>
      </c>
      <c r="U242" s="206" t="s">
        <v>4942</v>
      </c>
      <c r="V242" s="206">
        <v>55459</v>
      </c>
      <c r="W242" s="111">
        <v>362.51978000000003</v>
      </c>
      <c r="X242" s="111">
        <f t="shared" si="78"/>
        <v>20104984.479020003</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4559</v>
      </c>
      <c r="S243" s="93">
        <v>19663646</v>
      </c>
      <c r="U243" s="206" t="s">
        <v>4946</v>
      </c>
      <c r="V243" s="206">
        <v>-57212</v>
      </c>
      <c r="W243" s="111">
        <v>368.45400000000001</v>
      </c>
      <c r="X243" s="111">
        <f t="shared" si="78"/>
        <v>-21079990.248</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4580</v>
      </c>
      <c r="S244" s="93">
        <v>4374525</v>
      </c>
      <c r="U244" s="206" t="s">
        <v>4947</v>
      </c>
      <c r="V244" s="206">
        <v>-15881</v>
      </c>
      <c r="W244" s="111">
        <v>374.61599999999999</v>
      </c>
      <c r="X244" s="111">
        <f t="shared" si="78"/>
        <v>-5949276.6959999995</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4591</v>
      </c>
      <c r="S245" s="93">
        <v>6550580</v>
      </c>
      <c r="U245" s="206" t="s">
        <v>4953</v>
      </c>
      <c r="V245" s="206">
        <v>-41289</v>
      </c>
      <c r="W245" s="111">
        <v>372.27</v>
      </c>
      <c r="X245" s="111">
        <f t="shared" si="78"/>
        <v>-15370656.029999999</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4593</v>
      </c>
      <c r="S246" s="93">
        <v>6650895</v>
      </c>
      <c r="U246" s="206" t="s">
        <v>4959</v>
      </c>
      <c r="V246" s="206">
        <v>13563</v>
      </c>
      <c r="W246" s="111">
        <v>365.69799999999998</v>
      </c>
      <c r="X246" s="111">
        <f t="shared" si="78"/>
        <v>4959961.9739999995</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4609</v>
      </c>
      <c r="S247" s="93">
        <v>2145814</v>
      </c>
      <c r="U247" s="206" t="s">
        <v>4959</v>
      </c>
      <c r="V247" s="206">
        <v>27344</v>
      </c>
      <c r="W247" s="111">
        <v>365.69799999999998</v>
      </c>
      <c r="X247" s="111">
        <f t="shared" si="78"/>
        <v>9999646.1119999997</v>
      </c>
      <c r="Y247" s="97" t="s">
        <v>452</v>
      </c>
      <c r="AI247" s="97">
        <v>227</v>
      </c>
      <c r="AJ247" s="111" t="s">
        <v>5808</v>
      </c>
      <c r="AK247" s="111">
        <v>33833075</v>
      </c>
      <c r="AL247" s="97">
        <v>18</v>
      </c>
      <c r="AM247" s="20">
        <f t="shared" si="85"/>
        <v>201</v>
      </c>
      <c r="AN247" s="115">
        <f t="shared" si="86"/>
        <v>6800448075</v>
      </c>
      <c r="AO247" s="20" t="s">
        <v>5812</v>
      </c>
    </row>
    <row r="248" spans="7:47" ht="30">
      <c r="G248" s="206" t="s">
        <v>5724</v>
      </c>
      <c r="H248" s="111">
        <v>6572373.7593120001</v>
      </c>
      <c r="K248" t="s">
        <v>25</v>
      </c>
      <c r="R248" s="97" t="s">
        <v>4620</v>
      </c>
      <c r="S248" s="93">
        <v>4369730</v>
      </c>
      <c r="U248" s="206" t="s">
        <v>4966</v>
      </c>
      <c r="V248" s="206">
        <v>-103145</v>
      </c>
      <c r="W248" s="111">
        <v>393.334</v>
      </c>
      <c r="X248" s="111">
        <f t="shared" si="78"/>
        <v>-40570435.43</v>
      </c>
      <c r="Y248" s="36" t="s">
        <v>4971</v>
      </c>
      <c r="AI248" s="97">
        <v>228</v>
      </c>
      <c r="AJ248" s="111" t="s">
        <v>5821</v>
      </c>
      <c r="AK248" s="111">
        <v>150000</v>
      </c>
      <c r="AL248" s="97">
        <v>10</v>
      </c>
      <c r="AM248" s="20">
        <f t="shared" si="85"/>
        <v>183</v>
      </c>
      <c r="AN248" s="115"/>
      <c r="AO248" s="20"/>
    </row>
    <row r="249" spans="7:47">
      <c r="G249" s="206" t="s">
        <v>5728</v>
      </c>
      <c r="H249" s="111">
        <v>2893243.5730909999</v>
      </c>
      <c r="R249" s="97" t="s">
        <v>4622</v>
      </c>
      <c r="S249" s="93">
        <v>8739459</v>
      </c>
      <c r="T249" t="s">
        <v>25</v>
      </c>
      <c r="U249" s="206" t="s">
        <v>4966</v>
      </c>
      <c r="V249" s="206">
        <v>-369</v>
      </c>
      <c r="W249" s="111">
        <v>393.334</v>
      </c>
      <c r="X249" s="111">
        <f t="shared" si="78"/>
        <v>-145140.24600000001</v>
      </c>
      <c r="Y249" s="36" t="s">
        <v>5043</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4631</v>
      </c>
      <c r="S250" s="93">
        <v>6667654</v>
      </c>
      <c r="U250" s="206" t="s">
        <v>4966</v>
      </c>
      <c r="V250" s="206">
        <v>-889</v>
      </c>
      <c r="W250" s="111">
        <v>393.334</v>
      </c>
      <c r="X250" s="111">
        <f t="shared" si="78"/>
        <v>-349673.92599999998</v>
      </c>
      <c r="Y250" s="36" t="s">
        <v>5044</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4639</v>
      </c>
      <c r="S251" s="93">
        <v>8981245</v>
      </c>
      <c r="U251" s="206" t="s">
        <v>4975</v>
      </c>
      <c r="V251" s="206">
        <v>2546</v>
      </c>
      <c r="W251" s="111">
        <v>393</v>
      </c>
      <c r="X251" s="111">
        <f t="shared" si="78"/>
        <v>1000578</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4643</v>
      </c>
      <c r="S252" s="93">
        <v>9181756</v>
      </c>
      <c r="U252" s="206" t="s">
        <v>4976</v>
      </c>
      <c r="V252" s="206">
        <v>1034</v>
      </c>
      <c r="W252" s="111">
        <v>386.608</v>
      </c>
      <c r="X252" s="111">
        <f t="shared" si="78"/>
        <v>399752.67200000002</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4646</v>
      </c>
      <c r="S253" s="93">
        <v>11811208</v>
      </c>
      <c r="T253" t="s">
        <v>25</v>
      </c>
      <c r="U253" s="206" t="s">
        <v>4983</v>
      </c>
      <c r="V253" s="206">
        <v>300</v>
      </c>
      <c r="W253" s="111">
        <v>400</v>
      </c>
      <c r="X253" s="111">
        <f t="shared" si="78"/>
        <v>120000</v>
      </c>
      <c r="Y253" s="36" t="s">
        <v>452</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4659</v>
      </c>
      <c r="S254" s="93">
        <v>41248054</v>
      </c>
      <c r="T254" t="s">
        <v>25</v>
      </c>
      <c r="U254" s="206" t="s">
        <v>4991</v>
      </c>
      <c r="V254" s="206">
        <v>782</v>
      </c>
      <c r="W254" s="111">
        <v>409</v>
      </c>
      <c r="X254" s="111">
        <f t="shared" si="78"/>
        <v>319838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4666</v>
      </c>
      <c r="S255" s="93">
        <v>37328780</v>
      </c>
      <c r="U255" s="206" t="s">
        <v>4995</v>
      </c>
      <c r="V255" s="206">
        <v>1220</v>
      </c>
      <c r="W255" s="111">
        <v>409.9</v>
      </c>
      <c r="X255" s="111">
        <f t="shared" si="78"/>
        <v>500078</v>
      </c>
      <c r="Y255" s="36" t="s">
        <v>743</v>
      </c>
      <c r="AI255" s="97">
        <v>235</v>
      </c>
      <c r="AJ255" s="111" t="s">
        <v>5842</v>
      </c>
      <c r="AK255" s="111">
        <v>-30000000</v>
      </c>
      <c r="AL255" s="97">
        <v>3</v>
      </c>
      <c r="AM255" s="20">
        <f t="shared" si="85"/>
        <v>170</v>
      </c>
      <c r="AN255" s="115"/>
      <c r="AO255" s="261" t="s">
        <v>5843</v>
      </c>
    </row>
    <row r="256" spans="7:47">
      <c r="G256" s="206" t="s">
        <v>5760</v>
      </c>
      <c r="H256" s="111">
        <v>1500094.75168</v>
      </c>
      <c r="R256" s="97" t="s">
        <v>4744</v>
      </c>
      <c r="S256" s="93">
        <v>-2194100</v>
      </c>
      <c r="U256" s="206" t="s">
        <v>4997</v>
      </c>
      <c r="V256" s="206">
        <v>1285</v>
      </c>
      <c r="W256" s="111">
        <v>388.84</v>
      </c>
      <c r="X256" s="111">
        <f t="shared" si="78"/>
        <v>499659.39999999997</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4780</v>
      </c>
      <c r="S257" s="93">
        <v>20193916</v>
      </c>
      <c r="U257" s="206" t="s">
        <v>4988</v>
      </c>
      <c r="V257" s="206">
        <v>1924</v>
      </c>
      <c r="W257" s="111">
        <v>386.69600000000003</v>
      </c>
      <c r="X257" s="111">
        <f t="shared" si="78"/>
        <v>744003.10400000005</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4845</v>
      </c>
      <c r="S258" s="93">
        <v>-2000000</v>
      </c>
      <c r="U258" s="206" t="s">
        <v>5013</v>
      </c>
      <c r="V258" s="206">
        <v>165</v>
      </c>
      <c r="W258" s="111">
        <v>393.5</v>
      </c>
      <c r="X258" s="111">
        <f t="shared" si="78"/>
        <v>64927.5</v>
      </c>
      <c r="Y258" s="36" t="s">
        <v>452</v>
      </c>
      <c r="AI258" s="97">
        <v>238</v>
      </c>
      <c r="AJ258" s="111" t="s">
        <v>6391</v>
      </c>
      <c r="AK258" s="111">
        <v>10000</v>
      </c>
      <c r="AL258" s="97">
        <v>1</v>
      </c>
      <c r="AM258" s="20">
        <f t="shared" si="85"/>
        <v>161</v>
      </c>
      <c r="AN258" s="115"/>
      <c r="AO258" s="261"/>
    </row>
    <row r="259" spans="7:46" ht="15" customHeight="1">
      <c r="G259" s="206" t="s">
        <v>5765</v>
      </c>
      <c r="H259" s="111">
        <v>151560.25597</v>
      </c>
      <c r="R259" s="97" t="s">
        <v>4908</v>
      </c>
      <c r="S259" s="93">
        <v>6800000</v>
      </c>
      <c r="T259" t="s">
        <v>25</v>
      </c>
      <c r="U259" s="206" t="s">
        <v>5018</v>
      </c>
      <c r="V259" s="206">
        <v>-34859</v>
      </c>
      <c r="W259" s="111">
        <v>403.1585</v>
      </c>
      <c r="X259" s="111">
        <f t="shared" si="78"/>
        <v>-14053702.1515</v>
      </c>
      <c r="Y259" s="36" t="s">
        <v>5021</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4915</v>
      </c>
      <c r="S260" s="93">
        <v>850000</v>
      </c>
      <c r="U260" s="206" t="s">
        <v>4989</v>
      </c>
      <c r="V260" s="206">
        <v>8476</v>
      </c>
      <c r="W260" s="111">
        <v>419.49900000000002</v>
      </c>
      <c r="X260" s="111">
        <f t="shared" si="78"/>
        <v>3555673.5240000002</v>
      </c>
      <c r="Y260" s="36" t="s">
        <v>5027</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4923</v>
      </c>
      <c r="S261" s="93">
        <v>2290500</v>
      </c>
      <c r="U261" s="206" t="s">
        <v>5039</v>
      </c>
      <c r="V261" s="206">
        <v>903</v>
      </c>
      <c r="W261" s="111">
        <v>442.77379999999999</v>
      </c>
      <c r="X261" s="111">
        <f t="shared" si="78"/>
        <v>399824.7414</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4931</v>
      </c>
      <c r="S262" s="93">
        <v>400000</v>
      </c>
      <c r="T262" t="s">
        <v>25</v>
      </c>
      <c r="U262" s="206" t="s">
        <v>5042</v>
      </c>
      <c r="V262" s="206">
        <v>113</v>
      </c>
      <c r="W262" s="111">
        <v>442.48200000000003</v>
      </c>
      <c r="X262" s="111">
        <f t="shared" ref="X262:X343" si="87">V262*W262</f>
        <v>50000.466</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4938</v>
      </c>
      <c r="S263" s="93">
        <v>150000</v>
      </c>
      <c r="U263" s="206" t="s">
        <v>5052</v>
      </c>
      <c r="V263" s="206">
        <v>671</v>
      </c>
      <c r="W263" s="111">
        <v>447</v>
      </c>
      <c r="X263" s="111">
        <f t="shared" si="87"/>
        <v>299937</v>
      </c>
      <c r="Y263" s="36" t="s">
        <v>743</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4966</v>
      </c>
      <c r="S264" s="93">
        <v>-144950</v>
      </c>
      <c r="U264" s="206" t="s">
        <v>5054</v>
      </c>
      <c r="V264" s="206">
        <v>7</v>
      </c>
      <c r="W264" s="111">
        <v>465.31200000000001</v>
      </c>
      <c r="X264" s="111">
        <f t="shared" si="87"/>
        <v>3257.1840000000002</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4991</v>
      </c>
      <c r="S265" s="93">
        <v>320000</v>
      </c>
      <c r="U265" s="206" t="s">
        <v>5058</v>
      </c>
      <c r="V265" s="206">
        <v>12950</v>
      </c>
      <c r="W265" s="111">
        <v>463.31599999999997</v>
      </c>
      <c r="X265" s="111">
        <f t="shared" si="87"/>
        <v>5999942.1999999993</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4995</v>
      </c>
      <c r="S266" s="93">
        <v>500000</v>
      </c>
      <c r="T266" t="s">
        <v>25</v>
      </c>
      <c r="U266" s="206" t="s">
        <v>5060</v>
      </c>
      <c r="V266" s="206">
        <v>37</v>
      </c>
      <c r="W266" s="111">
        <v>463.315</v>
      </c>
      <c r="X266" s="111">
        <f t="shared" si="87"/>
        <v>17142.654999999999</v>
      </c>
      <c r="Y266" s="36" t="s">
        <v>452</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5039</v>
      </c>
      <c r="S267" s="93">
        <v>400000</v>
      </c>
      <c r="T267" t="s">
        <v>25</v>
      </c>
      <c r="U267" s="206" t="s">
        <v>5061</v>
      </c>
      <c r="V267" s="206">
        <v>19</v>
      </c>
      <c r="W267" s="111">
        <v>434.3</v>
      </c>
      <c r="X267" s="111">
        <f t="shared" si="87"/>
        <v>8251.7000000000007</v>
      </c>
      <c r="Y267" s="36" t="s">
        <v>452</v>
      </c>
      <c r="Z267" t="s">
        <v>25</v>
      </c>
      <c r="AI267" s="97">
        <v>247</v>
      </c>
      <c r="AJ267" s="111" t="s">
        <v>6994</v>
      </c>
      <c r="AK267" s="111">
        <v>50000</v>
      </c>
      <c r="AL267" s="97">
        <v>1</v>
      </c>
      <c r="AM267" s="20">
        <f t="shared" si="85"/>
        <v>1</v>
      </c>
      <c r="AN267" s="115"/>
      <c r="AO267" s="261" t="s">
        <v>6451</v>
      </c>
      <c r="AT267" t="s">
        <v>25</v>
      </c>
    </row>
    <row r="268" spans="7:46">
      <c r="G268" s="206" t="s">
        <v>5823</v>
      </c>
      <c r="H268" s="111">
        <v>564888.82799599995</v>
      </c>
      <c r="R268" s="97" t="s">
        <v>5042</v>
      </c>
      <c r="S268" s="93">
        <v>50000</v>
      </c>
      <c r="T268" t="s">
        <v>25</v>
      </c>
      <c r="U268" s="206" t="s">
        <v>5063</v>
      </c>
      <c r="V268" s="206">
        <v>16</v>
      </c>
      <c r="W268" s="111">
        <v>439</v>
      </c>
      <c r="X268" s="111">
        <f t="shared" si="87"/>
        <v>7024</v>
      </c>
      <c r="Y268" s="36" t="s">
        <v>452</v>
      </c>
      <c r="Z268" t="s">
        <v>25</v>
      </c>
      <c r="AI268" s="97"/>
      <c r="AJ268" s="111"/>
      <c r="AK268" s="111"/>
      <c r="AL268" s="97"/>
      <c r="AM268" s="20">
        <f t="shared" si="85"/>
        <v>0</v>
      </c>
      <c r="AN268" s="115"/>
      <c r="AO268" s="261"/>
    </row>
    <row r="269" spans="7:46" ht="21.75" customHeight="1">
      <c r="G269" s="206" t="s">
        <v>5858</v>
      </c>
      <c r="H269" s="111">
        <v>259993.58394100002</v>
      </c>
      <c r="J269" t="s">
        <v>25</v>
      </c>
      <c r="R269" s="97" t="s">
        <v>5052</v>
      </c>
      <c r="S269" s="93">
        <v>300000</v>
      </c>
      <c r="U269" s="206" t="s">
        <v>5063</v>
      </c>
      <c r="V269" s="206">
        <v>9191</v>
      </c>
      <c r="W269" s="111">
        <v>440.24630000000002</v>
      </c>
      <c r="X269" s="111">
        <f t="shared" si="87"/>
        <v>4046303.7433000002</v>
      </c>
      <c r="Y269" s="36" t="s">
        <v>5064</v>
      </c>
      <c r="AI269" s="97"/>
      <c r="AJ269" s="111"/>
      <c r="AK269" s="111"/>
      <c r="AL269" s="97"/>
      <c r="AM269" s="20">
        <f t="shared" si="85"/>
        <v>0</v>
      </c>
      <c r="AN269" s="115"/>
      <c r="AO269" s="261"/>
    </row>
    <row r="270" spans="7:46">
      <c r="G270" s="206" t="s">
        <v>5859</v>
      </c>
      <c r="H270" s="111">
        <v>269955.31205999997</v>
      </c>
      <c r="R270" s="97" t="s">
        <v>5073</v>
      </c>
      <c r="S270" s="93">
        <v>250000</v>
      </c>
      <c r="U270" s="206" t="s">
        <v>5066</v>
      </c>
      <c r="V270" s="206">
        <v>-8792</v>
      </c>
      <c r="W270" s="111">
        <v>441.90665999999999</v>
      </c>
      <c r="X270" s="111">
        <f t="shared" si="87"/>
        <v>-3885243.3547199997</v>
      </c>
      <c r="Y270" s="36" t="s">
        <v>5067</v>
      </c>
      <c r="AI270" s="97"/>
      <c r="AJ270" s="111"/>
      <c r="AK270" s="111"/>
      <c r="AL270" s="97"/>
      <c r="AM270" s="20">
        <f t="shared" si="85"/>
        <v>0</v>
      </c>
      <c r="AN270" s="115"/>
      <c r="AO270" s="20"/>
    </row>
    <row r="271" spans="7:46">
      <c r="G271" s="206" t="s">
        <v>6400</v>
      </c>
      <c r="H271" s="111">
        <v>560534.38387200003</v>
      </c>
      <c r="R271" s="97" t="s">
        <v>5106</v>
      </c>
      <c r="S271" s="93">
        <v>200000</v>
      </c>
      <c r="U271" s="206" t="s">
        <v>5073</v>
      </c>
      <c r="V271" s="206">
        <v>530</v>
      </c>
      <c r="W271" s="111">
        <v>472</v>
      </c>
      <c r="X271" s="111">
        <f t="shared" si="87"/>
        <v>250160</v>
      </c>
      <c r="Y271" s="36" t="s">
        <v>743</v>
      </c>
      <c r="AD271" t="s">
        <v>25</v>
      </c>
      <c r="AI271" s="97"/>
      <c r="AJ271" s="111"/>
      <c r="AK271" s="111"/>
      <c r="AL271" s="97"/>
      <c r="AM271" s="20">
        <f t="shared" si="85"/>
        <v>0</v>
      </c>
      <c r="AN271" s="115"/>
      <c r="AO271" s="20"/>
      <c r="AS271" t="s">
        <v>25</v>
      </c>
    </row>
    <row r="272" spans="7:46" ht="30">
      <c r="G272" s="206" t="s">
        <v>6402</v>
      </c>
      <c r="H272" s="111">
        <v>581484.96802499995</v>
      </c>
      <c r="R272" s="97" t="s">
        <v>5138</v>
      </c>
      <c r="S272" s="93">
        <v>122000</v>
      </c>
      <c r="U272" s="206" t="s">
        <v>5073</v>
      </c>
      <c r="V272" s="206">
        <v>12</v>
      </c>
      <c r="W272" s="111">
        <v>481.86</v>
      </c>
      <c r="X272" s="111">
        <f t="shared" si="87"/>
        <v>5782.32</v>
      </c>
      <c r="Y272" s="36" t="s">
        <v>5075</v>
      </c>
      <c r="AI272" s="97"/>
      <c r="AJ272" s="111"/>
      <c r="AK272" s="111"/>
      <c r="AL272" s="97"/>
      <c r="AM272" s="20">
        <f t="shared" si="85"/>
        <v>0</v>
      </c>
      <c r="AN272" s="115"/>
      <c r="AO272" s="20"/>
    </row>
    <row r="273" spans="7:41">
      <c r="G273" s="206" t="s">
        <v>6404</v>
      </c>
      <c r="H273" s="111">
        <v>2136964.3409779998</v>
      </c>
      <c r="J273" t="s">
        <v>25</v>
      </c>
      <c r="R273" s="97" t="s">
        <v>5146</v>
      </c>
      <c r="S273" s="93">
        <v>200000</v>
      </c>
      <c r="T273" t="s">
        <v>25</v>
      </c>
      <c r="U273" s="206" t="s">
        <v>5099</v>
      </c>
      <c r="V273" s="206">
        <v>846</v>
      </c>
      <c r="W273" s="111">
        <v>472.7</v>
      </c>
      <c r="X273" s="111">
        <f t="shared" si="87"/>
        <v>399904.2</v>
      </c>
      <c r="Y273" s="36" t="s">
        <v>452</v>
      </c>
      <c r="AI273" s="97"/>
      <c r="AJ273" s="111"/>
      <c r="AK273" s="111">
        <v>0</v>
      </c>
      <c r="AL273" s="97"/>
      <c r="AM273" s="20">
        <f t="shared" si="85"/>
        <v>0</v>
      </c>
      <c r="AN273" s="115">
        <f t="shared" si="86"/>
        <v>0</v>
      </c>
      <c r="AO273" s="20"/>
    </row>
    <row r="274" spans="7:41">
      <c r="G274" s="206" t="s">
        <v>6407</v>
      </c>
      <c r="H274" s="111">
        <v>593783.22629999998</v>
      </c>
      <c r="J274" t="s">
        <v>25</v>
      </c>
      <c r="R274" s="97" t="s">
        <v>5156</v>
      </c>
      <c r="S274" s="93">
        <v>60000</v>
      </c>
      <c r="U274" s="206" t="s">
        <v>5102</v>
      </c>
      <c r="V274" s="206">
        <v>191</v>
      </c>
      <c r="W274" s="111">
        <v>484.572</v>
      </c>
      <c r="X274" s="111">
        <f t="shared" si="87"/>
        <v>92553.252000000008</v>
      </c>
      <c r="Y274" s="36" t="s">
        <v>5103</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5215</v>
      </c>
      <c r="S275" s="93">
        <v>-200000</v>
      </c>
      <c r="T275" t="s">
        <v>25</v>
      </c>
      <c r="U275" s="206" t="s">
        <v>5102</v>
      </c>
      <c r="V275" s="206">
        <v>-206</v>
      </c>
      <c r="W275" s="111">
        <v>484.572</v>
      </c>
      <c r="X275" s="111">
        <f t="shared" si="87"/>
        <v>-99821.831999999995</v>
      </c>
      <c r="Y275" s="36" t="s">
        <v>5105</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5277</v>
      </c>
      <c r="S276" s="93">
        <v>-9000000</v>
      </c>
      <c r="U276" s="206" t="s">
        <v>5106</v>
      </c>
      <c r="V276" s="206">
        <v>20685</v>
      </c>
      <c r="W276" s="111">
        <v>483.43312200000003</v>
      </c>
      <c r="X276" s="111">
        <f t="shared" si="87"/>
        <v>9999814.1285699997</v>
      </c>
      <c r="Y276" s="36" t="s">
        <v>5108</v>
      </c>
      <c r="AI276" s="97"/>
      <c r="AJ276" s="97"/>
      <c r="AK276" s="97" t="s">
        <v>4041</v>
      </c>
      <c r="AL276" s="97"/>
      <c r="AM276" s="97"/>
      <c r="AN276" s="97" t="s">
        <v>284</v>
      </c>
      <c r="AO276" s="97" t="s">
        <v>926</v>
      </c>
    </row>
    <row r="277" spans="7:41">
      <c r="G277" s="206" t="s">
        <v>6461</v>
      </c>
      <c r="H277" s="111">
        <v>3585319.2317280001</v>
      </c>
      <c r="J277" t="s">
        <v>25</v>
      </c>
      <c r="K277" t="s">
        <v>25</v>
      </c>
      <c r="R277" s="97" t="s">
        <v>5335</v>
      </c>
      <c r="S277" s="93">
        <v>-26000000</v>
      </c>
      <c r="U277" s="206" t="s">
        <v>5106</v>
      </c>
      <c r="V277" s="206">
        <v>-413</v>
      </c>
      <c r="W277" s="111">
        <v>483.40199999999999</v>
      </c>
      <c r="X277" s="111">
        <f t="shared" si="87"/>
        <v>-199645.02599999998</v>
      </c>
      <c r="Y277" s="36" t="s">
        <v>4406</v>
      </c>
      <c r="AI277" s="97"/>
      <c r="AJ277" s="97"/>
      <c r="AK277" s="97"/>
      <c r="AL277" s="97"/>
      <c r="AM277" s="97"/>
      <c r="AN277" s="97"/>
      <c r="AO277" s="97"/>
    </row>
    <row r="278" spans="7:41">
      <c r="G278" s="206" t="s">
        <v>6464</v>
      </c>
      <c r="H278" s="111">
        <v>676700.69889600005</v>
      </c>
      <c r="J278" t="s">
        <v>25</v>
      </c>
      <c r="R278" s="97" t="s">
        <v>5339</v>
      </c>
      <c r="S278" s="93">
        <v>-95900000</v>
      </c>
      <c r="U278" s="206" t="s">
        <v>5106</v>
      </c>
      <c r="V278" s="206">
        <v>413</v>
      </c>
      <c r="W278" s="111">
        <v>483.40199999999999</v>
      </c>
      <c r="X278" s="111">
        <f t="shared" si="87"/>
        <v>199645.02599999998</v>
      </c>
      <c r="Y278" s="36" t="s">
        <v>743</v>
      </c>
      <c r="AI278" s="97"/>
      <c r="AJ278" s="97"/>
      <c r="AK278" s="97"/>
      <c r="AL278" s="97"/>
      <c r="AM278" s="97"/>
      <c r="AN278" s="97" t="s">
        <v>4042</v>
      </c>
      <c r="AO278" s="97">
        <v>1.6667000000000001E-2</v>
      </c>
    </row>
    <row r="279" spans="7:41">
      <c r="G279" s="206" t="s">
        <v>6472</v>
      </c>
      <c r="H279" s="111">
        <v>1105777.5430340001</v>
      </c>
      <c r="J279" t="s">
        <v>25</v>
      </c>
      <c r="R279" s="97" t="s">
        <v>5340</v>
      </c>
      <c r="S279" s="93">
        <v>-28950000</v>
      </c>
      <c r="T279" t="s">
        <v>25</v>
      </c>
      <c r="U279" s="206" t="s">
        <v>5111</v>
      </c>
      <c r="V279" s="206">
        <v>-828</v>
      </c>
      <c r="W279" s="111">
        <v>483.43312200000003</v>
      </c>
      <c r="X279" s="111">
        <f t="shared" si="87"/>
        <v>-400282.62501600001</v>
      </c>
      <c r="Y279" s="36" t="s">
        <v>452</v>
      </c>
      <c r="AI279" s="97"/>
      <c r="AJ279" s="97"/>
      <c r="AK279" s="97"/>
      <c r="AL279" s="97"/>
      <c r="AM279" s="97"/>
      <c r="AN279" s="97"/>
      <c r="AO279" s="97"/>
    </row>
    <row r="280" spans="7:41">
      <c r="G280" s="206" t="s">
        <v>6476</v>
      </c>
      <c r="H280" s="111">
        <v>2315234.8602510002</v>
      </c>
      <c r="R280" s="97" t="s">
        <v>5483</v>
      </c>
      <c r="S280" s="93">
        <v>-93000000</v>
      </c>
      <c r="T280" t="s">
        <v>25</v>
      </c>
      <c r="U280" s="206" t="s">
        <v>5114</v>
      </c>
      <c r="V280" s="206">
        <v>12</v>
      </c>
      <c r="W280" s="111">
        <v>473.61898300000001</v>
      </c>
      <c r="X280" s="111">
        <f t="shared" si="87"/>
        <v>5683.4277959999999</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5492</v>
      </c>
      <c r="S281" s="93">
        <v>50000000</v>
      </c>
      <c r="U281" s="206" t="s">
        <v>5117</v>
      </c>
      <c r="V281" s="206">
        <v>963</v>
      </c>
      <c r="W281" s="111">
        <v>477.92200000000003</v>
      </c>
      <c r="X281" s="111">
        <f t="shared" si="87"/>
        <v>460238.886</v>
      </c>
      <c r="Y281" s="36" t="s">
        <v>452</v>
      </c>
      <c r="AJ281" t="s">
        <v>4046</v>
      </c>
      <c r="AK281" s="112">
        <f>SUM(N44:N53)</f>
        <v>7022675396</v>
      </c>
      <c r="AN281" t="s">
        <v>25</v>
      </c>
    </row>
    <row r="282" spans="7:41">
      <c r="G282" s="206" t="s">
        <v>6480</v>
      </c>
      <c r="H282" s="111">
        <v>3035714.4702960001</v>
      </c>
      <c r="O282" t="s">
        <v>25</v>
      </c>
      <c r="R282" s="97" t="s">
        <v>4209</v>
      </c>
      <c r="S282" s="93">
        <v>2749471.1668000002</v>
      </c>
      <c r="U282" s="206" t="s">
        <v>5118</v>
      </c>
      <c r="V282" s="206">
        <v>2815</v>
      </c>
      <c r="W282" s="111">
        <v>461.79</v>
      </c>
      <c r="X282" s="111">
        <f t="shared" si="87"/>
        <v>1299938.8500000001</v>
      </c>
      <c r="Y282" s="36" t="s">
        <v>452</v>
      </c>
      <c r="AJ282" t="s">
        <v>4116</v>
      </c>
      <c r="AK282" s="112">
        <f>AK281-AK275</f>
        <v>6553189446.9384365</v>
      </c>
      <c r="AN282" t="s">
        <v>25</v>
      </c>
    </row>
    <row r="283" spans="7:41">
      <c r="G283" s="206" t="s">
        <v>6488</v>
      </c>
      <c r="H283" s="111">
        <v>93814</v>
      </c>
      <c r="R283" s="97" t="s">
        <v>5582</v>
      </c>
      <c r="S283" s="93">
        <v>-680940.07019999996</v>
      </c>
      <c r="U283" s="206" t="s">
        <v>5118</v>
      </c>
      <c r="V283" s="206">
        <v>1581</v>
      </c>
      <c r="W283" s="111">
        <v>461.79</v>
      </c>
      <c r="X283" s="111">
        <f t="shared" si="87"/>
        <v>730089.99</v>
      </c>
      <c r="Y283" s="36" t="s">
        <v>452</v>
      </c>
      <c r="Z283" t="s">
        <v>25</v>
      </c>
      <c r="AJ283" t="s">
        <v>926</v>
      </c>
      <c r="AK283" s="112">
        <f>AO275</f>
        <v>301139469.33667535</v>
      </c>
      <c r="AO283" t="s">
        <v>25</v>
      </c>
    </row>
    <row r="284" spans="7:41">
      <c r="G284" s="206" t="s">
        <v>6494</v>
      </c>
      <c r="H284" s="111">
        <v>345069.28943499998</v>
      </c>
      <c r="R284" s="97" t="s">
        <v>5582</v>
      </c>
      <c r="S284" s="93">
        <v>-48684800.338199995</v>
      </c>
      <c r="U284" s="206" t="s">
        <v>975</v>
      </c>
      <c r="V284" s="206">
        <v>41</v>
      </c>
      <c r="W284" s="111">
        <v>514.48099999999999</v>
      </c>
      <c r="X284" s="111">
        <f t="shared" si="87"/>
        <v>21093.721000000001</v>
      </c>
      <c r="Y284" s="36" t="s">
        <v>5103</v>
      </c>
      <c r="AJ284" t="s">
        <v>4047</v>
      </c>
      <c r="AK284" s="112">
        <f>AK281-AK280</f>
        <v>6252049977.6017609</v>
      </c>
      <c r="AO284" t="s">
        <v>25</v>
      </c>
    </row>
    <row r="285" spans="7:41">
      <c r="G285" s="206" t="s">
        <v>6586</v>
      </c>
      <c r="H285" s="111">
        <v>567785.37859199999</v>
      </c>
      <c r="R285" s="97" t="s">
        <v>5606</v>
      </c>
      <c r="S285" s="93">
        <v>1500000</v>
      </c>
      <c r="T285" t="s">
        <v>25</v>
      </c>
      <c r="U285" s="206" t="s">
        <v>4253</v>
      </c>
      <c r="V285" s="206">
        <v>71</v>
      </c>
      <c r="W285" s="111">
        <v>482.57</v>
      </c>
      <c r="X285" s="111">
        <f t="shared" si="87"/>
        <v>34262.47</v>
      </c>
      <c r="Y285" s="36" t="s">
        <v>5103</v>
      </c>
      <c r="AN285" t="s">
        <v>25</v>
      </c>
    </row>
    <row r="286" spans="7:41">
      <c r="G286" s="206" t="s">
        <v>6597</v>
      </c>
      <c r="H286" s="111">
        <v>189683.91675</v>
      </c>
      <c r="J286" t="s">
        <v>25</v>
      </c>
      <c r="R286" s="97" t="s">
        <v>963</v>
      </c>
      <c r="S286" s="93">
        <v>11221062</v>
      </c>
      <c r="T286" t="s">
        <v>25</v>
      </c>
      <c r="U286" s="206" t="s">
        <v>5138</v>
      </c>
      <c r="V286" s="206">
        <v>-250</v>
      </c>
      <c r="W286" s="111">
        <v>487.125</v>
      </c>
      <c r="X286" s="111">
        <f t="shared" si="87"/>
        <v>-121781.25</v>
      </c>
      <c r="Y286" s="36" t="s">
        <v>4406</v>
      </c>
      <c r="AK286" t="s">
        <v>25</v>
      </c>
    </row>
    <row r="287" spans="7:41">
      <c r="G287" s="206" t="s">
        <v>6598</v>
      </c>
      <c r="H287" s="111">
        <v>519135.75707200001</v>
      </c>
      <c r="R287" s="97" t="s">
        <v>5813</v>
      </c>
      <c r="S287" s="93">
        <v>20031495.928431001</v>
      </c>
      <c r="U287" s="206" t="s">
        <v>5138</v>
      </c>
      <c r="V287" s="206">
        <v>250</v>
      </c>
      <c r="W287" s="111">
        <v>487.125</v>
      </c>
      <c r="X287" s="111">
        <f t="shared" si="87"/>
        <v>121781.25</v>
      </c>
      <c r="Y287" s="36" t="s">
        <v>743</v>
      </c>
    </row>
    <row r="288" spans="7:41">
      <c r="G288" s="206" t="s">
        <v>6605</v>
      </c>
      <c r="H288" s="111">
        <v>3406413.9029760002</v>
      </c>
      <c r="R288" s="97" t="s">
        <v>5826</v>
      </c>
      <c r="S288" s="93">
        <v>-154353015.43906799</v>
      </c>
      <c r="T288" t="s">
        <v>25</v>
      </c>
      <c r="U288" s="206" t="s">
        <v>5146</v>
      </c>
      <c r="V288" s="206">
        <v>-1439</v>
      </c>
      <c r="W288" s="111">
        <v>486.53068999999999</v>
      </c>
      <c r="X288" s="111">
        <f t="shared" si="87"/>
        <v>-700117.66290999996</v>
      </c>
      <c r="Y288" s="36" t="s">
        <v>4406</v>
      </c>
    </row>
    <row r="289" spans="7:45">
      <c r="G289" s="417" t="s">
        <v>6607</v>
      </c>
      <c r="H289" s="77">
        <v>435036.348168</v>
      </c>
      <c r="R289" s="97" t="s">
        <v>5845</v>
      </c>
      <c r="S289" s="93">
        <v>16643927.89773</v>
      </c>
      <c r="T289" t="s">
        <v>25</v>
      </c>
      <c r="U289" s="206" t="s">
        <v>5146</v>
      </c>
      <c r="V289" s="206">
        <v>411</v>
      </c>
      <c r="W289" s="111">
        <v>486.53068999999999</v>
      </c>
      <c r="X289" s="111">
        <f t="shared" si="87"/>
        <v>199964.11358999999</v>
      </c>
      <c r="Y289" s="36" t="s">
        <v>743</v>
      </c>
      <c r="Z289" t="s">
        <v>25</v>
      </c>
    </row>
    <row r="290" spans="7:45">
      <c r="G290" s="206" t="s">
        <v>6651</v>
      </c>
      <c r="H290" s="111">
        <v>2321535.4633200001</v>
      </c>
      <c r="O290" t="s">
        <v>25</v>
      </c>
      <c r="R290" s="97" t="s">
        <v>5846</v>
      </c>
      <c r="S290" s="93">
        <v>33355467.51292</v>
      </c>
      <c r="U290" s="206" t="s">
        <v>5116</v>
      </c>
      <c r="V290" s="206">
        <v>-4290</v>
      </c>
      <c r="W290" s="111">
        <v>497.57670000000002</v>
      </c>
      <c r="X290" s="111">
        <f t="shared" si="87"/>
        <v>-2134604.0430000001</v>
      </c>
      <c r="Y290" s="36" t="s">
        <v>452</v>
      </c>
    </row>
    <row r="291" spans="7:45">
      <c r="G291" s="206" t="s">
        <v>6981</v>
      </c>
      <c r="H291" s="111">
        <v>1098146.8035800001</v>
      </c>
      <c r="R291" s="97" t="s">
        <v>6391</v>
      </c>
      <c r="S291" s="93">
        <v>30000000</v>
      </c>
      <c r="T291" t="s">
        <v>25</v>
      </c>
      <c r="U291" s="206" t="s">
        <v>5153</v>
      </c>
      <c r="V291" s="206">
        <v>-644</v>
      </c>
      <c r="W291" s="111">
        <v>494.76464499999997</v>
      </c>
      <c r="X291" s="111">
        <f t="shared" si="87"/>
        <v>-318628.43137999997</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6404</v>
      </c>
      <c r="S292" s="93">
        <v>6000000</v>
      </c>
      <c r="U292" s="206" t="s">
        <v>5156</v>
      </c>
      <c r="V292" s="206">
        <v>-112</v>
      </c>
      <c r="W292" s="111">
        <v>485.78</v>
      </c>
      <c r="X292" s="111">
        <f t="shared" si="87"/>
        <v>-54407.360000000001</v>
      </c>
      <c r="Y292" s="36" t="s">
        <v>452</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t="s">
        <v>6494</v>
      </c>
      <c r="S293" s="93">
        <v>126128.77475900001</v>
      </c>
      <c r="U293" s="206" t="s">
        <v>5156</v>
      </c>
      <c r="V293" s="206">
        <v>123</v>
      </c>
      <c r="W293" s="111">
        <v>485.78</v>
      </c>
      <c r="X293" s="111">
        <f t="shared" si="87"/>
        <v>59750.939999999995</v>
      </c>
      <c r="Y293" s="36" t="s">
        <v>743</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U294" s="206" t="s">
        <v>5156</v>
      </c>
      <c r="V294" s="206">
        <v>-123</v>
      </c>
      <c r="W294" s="111">
        <v>485.78</v>
      </c>
      <c r="X294" s="111">
        <f t="shared" si="87"/>
        <v>-59750.939999999995</v>
      </c>
      <c r="Y294" s="36" t="s">
        <v>4406</v>
      </c>
      <c r="AI294" s="97">
        <v>3</v>
      </c>
      <c r="AJ294" s="97" t="s">
        <v>4110</v>
      </c>
      <c r="AK294" s="115">
        <v>150000</v>
      </c>
      <c r="AL294" s="97">
        <v>3</v>
      </c>
      <c r="AM294" s="97">
        <f t="shared" si="88"/>
        <v>938</v>
      </c>
      <c r="AN294" s="97">
        <f t="shared" si="89"/>
        <v>140700000</v>
      </c>
      <c r="AO294" s="97"/>
    </row>
    <row r="295" spans="7:45">
      <c r="G295" s="206" t="s">
        <v>7020</v>
      </c>
      <c r="H295" s="111">
        <v>13945790.265610002</v>
      </c>
      <c r="R295" s="97"/>
      <c r="S295" s="93"/>
      <c r="T295" t="s">
        <v>25</v>
      </c>
      <c r="U295" s="206" t="s">
        <v>5199</v>
      </c>
      <c r="V295" s="206">
        <v>32367</v>
      </c>
      <c r="W295" s="111">
        <v>556.12900000000002</v>
      </c>
      <c r="X295" s="111">
        <f t="shared" si="87"/>
        <v>18000227.343000002</v>
      </c>
      <c r="Y295" s="36" t="s">
        <v>452</v>
      </c>
      <c r="AI295" s="97">
        <v>4</v>
      </c>
      <c r="AJ295" s="97" t="s">
        <v>4125</v>
      </c>
      <c r="AK295" s="115">
        <v>-95000</v>
      </c>
      <c r="AL295" s="97">
        <v>8</v>
      </c>
      <c r="AM295" s="97">
        <f t="shared" si="88"/>
        <v>935</v>
      </c>
      <c r="AN295" s="97">
        <f t="shared" si="89"/>
        <v>-88825000</v>
      </c>
      <c r="AO295" s="97"/>
    </row>
    <row r="296" spans="7:45">
      <c r="G296" s="206" t="s">
        <v>7022</v>
      </c>
      <c r="H296" s="111">
        <v>457914.84466800001</v>
      </c>
      <c r="R296" s="97" t="s">
        <v>25</v>
      </c>
      <c r="S296" s="93"/>
      <c r="U296" s="206" t="s">
        <v>5215</v>
      </c>
      <c r="V296" s="206">
        <v>1254</v>
      </c>
      <c r="W296" s="111">
        <v>558.24400000000003</v>
      </c>
      <c r="X296" s="111">
        <f t="shared" si="87"/>
        <v>700037.97600000002</v>
      </c>
      <c r="Y296" s="36" t="s">
        <v>4406</v>
      </c>
      <c r="AI296" s="97">
        <v>5</v>
      </c>
      <c r="AJ296" s="97" t="s">
        <v>4149</v>
      </c>
      <c r="AK296" s="115">
        <v>3150000</v>
      </c>
      <c r="AL296" s="97">
        <v>16</v>
      </c>
      <c r="AM296" s="97">
        <f t="shared" si="88"/>
        <v>927</v>
      </c>
      <c r="AN296" s="97">
        <f t="shared" si="89"/>
        <v>2920050000</v>
      </c>
      <c r="AO296" s="97"/>
    </row>
    <row r="297" spans="7:45">
      <c r="G297" s="206" t="s">
        <v>7024</v>
      </c>
      <c r="H297" s="111">
        <v>974570.33942399989</v>
      </c>
      <c r="R297" s="97"/>
      <c r="S297" s="93">
        <f>SUM(S236:S296)</f>
        <v>151842622.43317199</v>
      </c>
      <c r="U297" s="166" t="s">
        <v>5215</v>
      </c>
      <c r="V297" s="206">
        <v>-358</v>
      </c>
      <c r="W297" s="111">
        <v>558.24400000000003</v>
      </c>
      <c r="X297" s="111">
        <f t="shared" si="87"/>
        <v>-199851.35200000001</v>
      </c>
      <c r="Y297" s="36" t="s">
        <v>743</v>
      </c>
      <c r="AA297" t="s">
        <v>25</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s="97" t="s">
        <v>6</v>
      </c>
      <c r="U298" s="187" t="s">
        <v>5234</v>
      </c>
      <c r="V298" s="187">
        <v>63259</v>
      </c>
      <c r="W298" s="186">
        <v>632.31960000000004</v>
      </c>
      <c r="X298" s="186">
        <f t="shared" si="87"/>
        <v>39999905.576400004</v>
      </c>
      <c r="Y298" s="260" t="s">
        <v>1069</v>
      </c>
      <c r="AI298" s="97">
        <v>7</v>
      </c>
      <c r="AJ298" s="97" t="s">
        <v>4285</v>
      </c>
      <c r="AK298" s="115">
        <v>-95000</v>
      </c>
      <c r="AL298" s="97">
        <v>6</v>
      </c>
      <c r="AM298" s="97">
        <f t="shared" si="88"/>
        <v>910</v>
      </c>
      <c r="AN298" s="97">
        <f t="shared" si="89"/>
        <v>-86450000</v>
      </c>
      <c r="AO298" s="97"/>
    </row>
    <row r="299" spans="7:45">
      <c r="G299" s="206" t="s">
        <v>7039</v>
      </c>
      <c r="H299" s="111">
        <v>416108</v>
      </c>
      <c r="S299" t="s">
        <v>25</v>
      </c>
      <c r="U299" s="19" t="s">
        <v>5238</v>
      </c>
      <c r="V299" s="19">
        <v>-1278</v>
      </c>
      <c r="W299" s="115">
        <v>625.98</v>
      </c>
      <c r="X299" s="115">
        <f t="shared" si="87"/>
        <v>-800002.44000000006</v>
      </c>
      <c r="Y299" s="261" t="s">
        <v>5239</v>
      </c>
      <c r="AI299" s="97">
        <v>8</v>
      </c>
      <c r="AJ299" s="97" t="s">
        <v>4286</v>
      </c>
      <c r="AK299" s="115">
        <v>232000</v>
      </c>
      <c r="AL299" s="97">
        <v>7</v>
      </c>
      <c r="AM299" s="97">
        <f t="shared" si="88"/>
        <v>904</v>
      </c>
      <c r="AN299" s="97">
        <f t="shared" si="89"/>
        <v>209728000</v>
      </c>
      <c r="AO299" s="97"/>
    </row>
    <row r="300" spans="7:45">
      <c r="G300" s="206"/>
      <c r="H300" s="111"/>
      <c r="P300" t="s">
        <v>25</v>
      </c>
      <c r="R300" s="97" t="s">
        <v>452</v>
      </c>
      <c r="U300" s="19" t="s">
        <v>5243</v>
      </c>
      <c r="V300" s="19">
        <v>32049</v>
      </c>
      <c r="W300" s="115">
        <v>624.04600000000005</v>
      </c>
      <c r="X300" s="115">
        <f t="shared" si="87"/>
        <v>20000050.254000001</v>
      </c>
      <c r="Y300" s="261" t="s">
        <v>5108</v>
      </c>
      <c r="AA300" t="s">
        <v>25</v>
      </c>
      <c r="AI300" s="97">
        <v>9</v>
      </c>
      <c r="AJ300" s="97" t="s">
        <v>4264</v>
      </c>
      <c r="AK300" s="115">
        <v>13000000</v>
      </c>
      <c r="AL300" s="97">
        <v>2</v>
      </c>
      <c r="AM300" s="97">
        <f t="shared" si="88"/>
        <v>897</v>
      </c>
      <c r="AN300" s="97">
        <f t="shared" si="89"/>
        <v>11661000000</v>
      </c>
      <c r="AO300" s="97"/>
      <c r="AS300" t="s">
        <v>25</v>
      </c>
    </row>
    <row r="301" spans="7:45" ht="30">
      <c r="G301" s="206"/>
      <c r="H301" s="111"/>
      <c r="R301" s="97" t="s">
        <v>4399</v>
      </c>
      <c r="S301" s="97"/>
      <c r="U301" s="19" t="s">
        <v>5250</v>
      </c>
      <c r="V301" s="19">
        <v>45094</v>
      </c>
      <c r="W301" s="115">
        <v>614.13559759999998</v>
      </c>
      <c r="X301" s="115">
        <f t="shared" si="87"/>
        <v>27693830.6381744</v>
      </c>
      <c r="Y301" s="261" t="s">
        <v>5252</v>
      </c>
      <c r="Z301" t="s">
        <v>25</v>
      </c>
      <c r="AI301" s="97">
        <v>10</v>
      </c>
      <c r="AJ301" s="97" t="s">
        <v>4287</v>
      </c>
      <c r="AK301" s="115">
        <v>10000000</v>
      </c>
      <c r="AL301" s="97">
        <v>3</v>
      </c>
      <c r="AM301" s="97">
        <f t="shared" si="88"/>
        <v>895</v>
      </c>
      <c r="AN301" s="97">
        <f t="shared" si="89"/>
        <v>8950000000</v>
      </c>
      <c r="AO301" s="97"/>
    </row>
    <row r="302" spans="7:45" ht="30">
      <c r="G302" s="206"/>
      <c r="H302" s="111"/>
      <c r="R302" s="97" t="s">
        <v>4443</v>
      </c>
      <c r="S302" s="93">
        <v>63115000</v>
      </c>
      <c r="U302" s="19" t="s">
        <v>5277</v>
      </c>
      <c r="V302" s="19">
        <v>-11804</v>
      </c>
      <c r="W302" s="115">
        <v>762.46640000000002</v>
      </c>
      <c r="X302" s="115">
        <f t="shared" si="87"/>
        <v>-9000153.3856000006</v>
      </c>
      <c r="Y302" s="261" t="s">
        <v>5279</v>
      </c>
      <c r="AI302" s="97">
        <v>11</v>
      </c>
      <c r="AJ302" s="97" t="s">
        <v>4276</v>
      </c>
      <c r="AK302" s="115">
        <v>3400000</v>
      </c>
      <c r="AL302" s="97">
        <v>9</v>
      </c>
      <c r="AM302" s="97">
        <f t="shared" si="88"/>
        <v>892</v>
      </c>
      <c r="AN302" s="97">
        <f t="shared" si="89"/>
        <v>3032800000</v>
      </c>
      <c r="AO302" s="97"/>
    </row>
    <row r="303" spans="7:45">
      <c r="G303" s="206"/>
      <c r="H303" s="111"/>
      <c r="R303" s="97" t="s">
        <v>4451</v>
      </c>
      <c r="S303" s="93">
        <v>13300000</v>
      </c>
      <c r="U303" s="19" t="s">
        <v>5321</v>
      </c>
      <c r="V303" s="19">
        <v>844</v>
      </c>
      <c r="W303" s="115">
        <v>830</v>
      </c>
      <c r="X303" s="115">
        <f t="shared" si="87"/>
        <v>700520</v>
      </c>
      <c r="Y303" s="261" t="s">
        <v>4406</v>
      </c>
      <c r="Z303" t="s">
        <v>25</v>
      </c>
      <c r="AI303" s="97">
        <v>12</v>
      </c>
      <c r="AJ303" s="97" t="s">
        <v>4313</v>
      </c>
      <c r="AK303" s="115">
        <v>-8736514</v>
      </c>
      <c r="AL303" s="97">
        <v>1</v>
      </c>
      <c r="AM303" s="97">
        <f>AL303+AM304</f>
        <v>883</v>
      </c>
      <c r="AN303" s="97">
        <f t="shared" si="89"/>
        <v>-7714341862</v>
      </c>
      <c r="AO303" s="97"/>
    </row>
    <row r="304" spans="7:45">
      <c r="G304" s="206" t="s">
        <v>5479</v>
      </c>
      <c r="H304" s="111">
        <v>-87000000</v>
      </c>
      <c r="J304" t="s">
        <v>25</v>
      </c>
      <c r="R304" s="97" t="s">
        <v>4549</v>
      </c>
      <c r="S304" s="93">
        <v>2269000</v>
      </c>
      <c r="U304" s="19" t="s">
        <v>5325</v>
      </c>
      <c r="V304" s="19">
        <v>8662</v>
      </c>
      <c r="W304" s="115">
        <v>832.57011999999997</v>
      </c>
      <c r="X304" s="115">
        <f t="shared" si="87"/>
        <v>7211722.3794399993</v>
      </c>
      <c r="Y304" s="261" t="s">
        <v>5103</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4558</v>
      </c>
      <c r="S305" s="93">
        <v>25071612</v>
      </c>
      <c r="U305" s="19" t="s">
        <v>5326</v>
      </c>
      <c r="V305" s="19">
        <v>10253</v>
      </c>
      <c r="W305" s="115">
        <v>827.2568</v>
      </c>
      <c r="X305" s="115">
        <f t="shared" si="87"/>
        <v>8481863.9704</v>
      </c>
      <c r="Y305" s="261" t="s">
        <v>5329</v>
      </c>
      <c r="AB305" t="s">
        <v>25</v>
      </c>
      <c r="AI305" s="97">
        <v>14</v>
      </c>
      <c r="AJ305" s="97" t="s">
        <v>4338</v>
      </c>
      <c r="AK305" s="115">
        <v>-448308</v>
      </c>
      <c r="AL305" s="97">
        <v>6</v>
      </c>
      <c r="AM305" s="97">
        <f t="shared" si="90"/>
        <v>877</v>
      </c>
      <c r="AN305" s="97">
        <f t="shared" si="89"/>
        <v>-393166116</v>
      </c>
      <c r="AO305" s="97"/>
    </row>
    <row r="306" spans="7:41">
      <c r="G306" s="206"/>
      <c r="H306" s="1"/>
      <c r="R306" s="97" t="s">
        <v>4559</v>
      </c>
      <c r="S306" s="93">
        <v>42236984</v>
      </c>
      <c r="U306" s="230" t="s">
        <v>5330</v>
      </c>
      <c r="V306" s="230">
        <v>-33077</v>
      </c>
      <c r="W306" s="231">
        <v>786.02973999999995</v>
      </c>
      <c r="X306" s="231">
        <f t="shared" si="87"/>
        <v>-25999505.70998</v>
      </c>
      <c r="Y306" s="269" t="s">
        <v>5332</v>
      </c>
      <c r="AI306" s="97">
        <v>15</v>
      </c>
      <c r="AJ306" s="97" t="s">
        <v>4365</v>
      </c>
      <c r="AK306" s="115">
        <v>33225</v>
      </c>
      <c r="AL306" s="97">
        <v>0</v>
      </c>
      <c r="AM306" s="97">
        <f t="shared" si="90"/>
        <v>871</v>
      </c>
      <c r="AN306" s="97">
        <f t="shared" si="89"/>
        <v>28938975</v>
      </c>
      <c r="AO306" s="97"/>
    </row>
    <row r="307" spans="7:41">
      <c r="G307" s="206"/>
      <c r="H307" s="1"/>
      <c r="R307" s="97" t="s">
        <v>4580</v>
      </c>
      <c r="S307" s="93">
        <v>19663646</v>
      </c>
      <c r="U307" s="19" t="s">
        <v>5330</v>
      </c>
      <c r="V307" s="19">
        <v>-33077</v>
      </c>
      <c r="W307" s="115">
        <v>786.02973999999995</v>
      </c>
      <c r="X307" s="115">
        <f t="shared" si="87"/>
        <v>-25999505.70998</v>
      </c>
      <c r="Y307" s="261" t="s">
        <v>5333</v>
      </c>
      <c r="Z307" t="s">
        <v>25</v>
      </c>
      <c r="AI307" s="147">
        <v>16</v>
      </c>
      <c r="AJ307" s="147" t="s">
        <v>4365</v>
      </c>
      <c r="AK307" s="186">
        <v>4098523</v>
      </c>
      <c r="AL307" s="147">
        <v>2</v>
      </c>
      <c r="AM307" s="147">
        <f t="shared" si="90"/>
        <v>871</v>
      </c>
      <c r="AN307" s="147">
        <f t="shared" si="89"/>
        <v>3569813533</v>
      </c>
      <c r="AO307" s="147" t="s">
        <v>649</v>
      </c>
    </row>
    <row r="308" spans="7:41">
      <c r="G308" s="206"/>
      <c r="H308" s="1"/>
      <c r="R308" s="97" t="s">
        <v>4591</v>
      </c>
      <c r="S308" s="93">
        <v>4374525</v>
      </c>
      <c r="U308" s="19" t="s">
        <v>5330</v>
      </c>
      <c r="V308" s="19">
        <v>1983</v>
      </c>
      <c r="W308" s="115">
        <v>786.02973999999995</v>
      </c>
      <c r="X308" s="115">
        <f t="shared" si="87"/>
        <v>1558696.9744199999</v>
      </c>
      <c r="Y308" s="261" t="s">
        <v>5103</v>
      </c>
      <c r="AI308" s="147">
        <v>17</v>
      </c>
      <c r="AJ308" s="147" t="s">
        <v>4376</v>
      </c>
      <c r="AK308" s="186">
        <v>-1000000</v>
      </c>
      <c r="AL308" s="147">
        <v>7</v>
      </c>
      <c r="AM308" s="147">
        <f t="shared" si="90"/>
        <v>869</v>
      </c>
      <c r="AN308" s="147">
        <f t="shared" si="89"/>
        <v>-869000000</v>
      </c>
      <c r="AO308" s="147" t="s">
        <v>649</v>
      </c>
    </row>
    <row r="309" spans="7:41">
      <c r="G309" s="206" t="s">
        <v>6</v>
      </c>
      <c r="H309" s="1">
        <f>SUM(H163:H308)</f>
        <v>1511177409.1973093</v>
      </c>
      <c r="R309" s="97" t="s">
        <v>4593</v>
      </c>
      <c r="S309" s="93">
        <v>6550580</v>
      </c>
      <c r="U309" s="230" t="s">
        <v>5334</v>
      </c>
      <c r="V309" s="230">
        <v>-119753</v>
      </c>
      <c r="W309" s="231">
        <v>800.81560000000002</v>
      </c>
      <c r="X309" s="231">
        <f t="shared" si="87"/>
        <v>-95900070.546800002</v>
      </c>
      <c r="Y309" s="269" t="s">
        <v>5332</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4609</v>
      </c>
      <c r="S310" s="93">
        <v>7054895</v>
      </c>
      <c r="U310" s="19" t="s">
        <v>5334</v>
      </c>
      <c r="V310" s="19">
        <v>-119753</v>
      </c>
      <c r="W310" s="115">
        <v>800.81560000000002</v>
      </c>
      <c r="X310" s="115">
        <f t="shared" si="87"/>
        <v>-95900070.546800002</v>
      </c>
      <c r="Y310" s="261" t="s">
        <v>5333</v>
      </c>
      <c r="AI310" s="192">
        <v>19</v>
      </c>
      <c r="AJ310" s="192" t="s">
        <v>4397</v>
      </c>
      <c r="AK310" s="193">
        <v>-604152</v>
      </c>
      <c r="AL310" s="192">
        <v>0</v>
      </c>
      <c r="AM310" s="192">
        <f t="shared" si="90"/>
        <v>861</v>
      </c>
      <c r="AN310" s="192">
        <f t="shared" si="89"/>
        <v>-520174872</v>
      </c>
      <c r="AO310" s="192" t="s">
        <v>649</v>
      </c>
    </row>
    <row r="311" spans="7:41">
      <c r="P311" t="s">
        <v>25</v>
      </c>
      <c r="R311" s="97" t="s">
        <v>4620</v>
      </c>
      <c r="S311" s="93">
        <v>2145814</v>
      </c>
      <c r="T311" s="112"/>
      <c r="U311" s="19" t="s">
        <v>5334</v>
      </c>
      <c r="V311" s="19">
        <v>11291</v>
      </c>
      <c r="W311" s="115">
        <v>800.81560000000002</v>
      </c>
      <c r="X311" s="115">
        <f t="shared" si="87"/>
        <v>9042008.9396000002</v>
      </c>
      <c r="Y311" s="261" t="s">
        <v>452</v>
      </c>
      <c r="AB311" t="s">
        <v>25</v>
      </c>
      <c r="AI311" s="97">
        <v>20</v>
      </c>
      <c r="AJ311" s="97" t="s">
        <v>4398</v>
      </c>
      <c r="AK311" s="115">
        <v>-587083</v>
      </c>
      <c r="AL311" s="97">
        <v>4</v>
      </c>
      <c r="AM311" s="97">
        <f t="shared" si="90"/>
        <v>861</v>
      </c>
      <c r="AN311" s="97">
        <f t="shared" si="89"/>
        <v>-505478463</v>
      </c>
      <c r="AO311" s="97"/>
    </row>
    <row r="312" spans="7:41">
      <c r="R312" s="97" t="s">
        <v>4622</v>
      </c>
      <c r="S312" s="93">
        <v>4369730</v>
      </c>
      <c r="U312" s="187" t="s">
        <v>5335</v>
      </c>
      <c r="V312" s="187">
        <v>-35361</v>
      </c>
      <c r="W312" s="186">
        <v>818.697</v>
      </c>
      <c r="X312" s="186">
        <f t="shared" si="87"/>
        <v>-28949944.616999999</v>
      </c>
      <c r="Y312" s="260" t="s">
        <v>5332</v>
      </c>
      <c r="Z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4631</v>
      </c>
      <c r="S313" s="93">
        <v>8739459</v>
      </c>
      <c r="U313" s="19" t="s">
        <v>5335</v>
      </c>
      <c r="V313" s="19">
        <v>-35361</v>
      </c>
      <c r="W313" s="115">
        <v>818.697</v>
      </c>
      <c r="X313" s="115">
        <f t="shared" si="87"/>
        <v>-28949944.616999999</v>
      </c>
      <c r="Y313" s="261" t="s">
        <v>5333</v>
      </c>
      <c r="Z313" t="s">
        <v>25</v>
      </c>
      <c r="AA313" t="s">
        <v>25</v>
      </c>
      <c r="AI313" s="97">
        <v>22</v>
      </c>
      <c r="AJ313" s="97" t="s">
        <v>4399</v>
      </c>
      <c r="AK313" s="115">
        <v>-189619</v>
      </c>
      <c r="AL313" s="97">
        <v>15</v>
      </c>
      <c r="AM313" s="97">
        <f t="shared" si="90"/>
        <v>857</v>
      </c>
      <c r="AN313" s="97">
        <f t="shared" si="89"/>
        <v>-162503483</v>
      </c>
      <c r="AO313" s="97"/>
    </row>
    <row r="314" spans="7:41">
      <c r="G314" s="94"/>
      <c r="H314" s="9" t="s">
        <v>743</v>
      </c>
      <c r="R314" s="97" t="s">
        <v>3666</v>
      </c>
      <c r="S314" s="93">
        <v>6667654</v>
      </c>
      <c r="U314" s="19" t="s">
        <v>5335</v>
      </c>
      <c r="V314" s="19">
        <v>116</v>
      </c>
      <c r="W314" s="115">
        <v>818.697</v>
      </c>
      <c r="X314" s="115">
        <f t="shared" si="87"/>
        <v>94968.851999999999</v>
      </c>
      <c r="Y314" s="261" t="s">
        <v>5103</v>
      </c>
      <c r="AI314" s="192">
        <v>23</v>
      </c>
      <c r="AJ314" s="192" t="s">
        <v>4459</v>
      </c>
      <c r="AK314" s="186">
        <v>7100</v>
      </c>
      <c r="AL314" s="192">
        <v>0</v>
      </c>
      <c r="AM314" s="147">
        <f t="shared" si="90"/>
        <v>842</v>
      </c>
      <c r="AN314" s="192">
        <f t="shared" si="89"/>
        <v>5978200</v>
      </c>
      <c r="AO314" s="192" t="s">
        <v>649</v>
      </c>
    </row>
    <row r="315" spans="7:41">
      <c r="G315" s="94"/>
      <c r="H315" s="9" t="s">
        <v>5413</v>
      </c>
      <c r="R315" s="97" t="s">
        <v>4643</v>
      </c>
      <c r="S315" s="93">
        <v>8981245</v>
      </c>
      <c r="U315" s="19" t="s">
        <v>5339</v>
      </c>
      <c r="V315" s="19">
        <v>48633</v>
      </c>
      <c r="W315" s="115">
        <v>822.47199999999998</v>
      </c>
      <c r="X315" s="115">
        <f t="shared" si="87"/>
        <v>39999280.776000001</v>
      </c>
      <c r="Y315" s="261" t="s">
        <v>5342</v>
      </c>
      <c r="AB315" t="s">
        <v>25</v>
      </c>
      <c r="AI315" s="20">
        <v>24</v>
      </c>
      <c r="AJ315" s="20" t="s">
        <v>4459</v>
      </c>
      <c r="AK315" s="115">
        <v>-147902</v>
      </c>
      <c r="AL315" s="20">
        <v>3</v>
      </c>
      <c r="AM315" s="97">
        <f t="shared" si="90"/>
        <v>842</v>
      </c>
      <c r="AN315" s="20">
        <f t="shared" si="89"/>
        <v>-124533484</v>
      </c>
      <c r="AO315" s="20"/>
    </row>
    <row r="316" spans="7:41">
      <c r="G316" s="94"/>
      <c r="H316" s="9" t="s">
        <v>1069</v>
      </c>
      <c r="R316" s="97" t="s">
        <v>4646</v>
      </c>
      <c r="S316" s="93">
        <v>9181756</v>
      </c>
      <c r="U316" s="19" t="s">
        <v>5339</v>
      </c>
      <c r="V316" s="19">
        <v>3412</v>
      </c>
      <c r="W316" s="115">
        <v>822.47199999999998</v>
      </c>
      <c r="X316" s="115">
        <f t="shared" si="87"/>
        <v>2806274.4640000002</v>
      </c>
      <c r="Y316" s="261" t="s">
        <v>5344</v>
      </c>
      <c r="AI316" s="147">
        <v>25</v>
      </c>
      <c r="AJ316" s="147" t="s">
        <v>4467</v>
      </c>
      <c r="AK316" s="186">
        <v>-37200</v>
      </c>
      <c r="AL316" s="147">
        <v>4</v>
      </c>
      <c r="AM316" s="147">
        <f t="shared" si="90"/>
        <v>839</v>
      </c>
      <c r="AN316" s="192">
        <f t="shared" si="89"/>
        <v>-31210800</v>
      </c>
      <c r="AO316" s="147" t="s">
        <v>649</v>
      </c>
    </row>
    <row r="317" spans="7:41">
      <c r="H317" s="9" t="s">
        <v>5350</v>
      </c>
      <c r="R317" s="97" t="s">
        <v>4659</v>
      </c>
      <c r="S317" s="93">
        <v>11811208</v>
      </c>
      <c r="U317" s="19" t="s">
        <v>5340</v>
      </c>
      <c r="V317" s="19">
        <v>1531</v>
      </c>
      <c r="W317" s="115">
        <v>869.82500000000005</v>
      </c>
      <c r="X317" s="115">
        <f t="shared" si="87"/>
        <v>1331702.075</v>
      </c>
      <c r="Y317" s="261" t="s">
        <v>5345</v>
      </c>
      <c r="AI317" s="97">
        <v>26</v>
      </c>
      <c r="AJ317" s="97" t="s">
        <v>4494</v>
      </c>
      <c r="AK317" s="115">
        <v>-372326</v>
      </c>
      <c r="AL317" s="97">
        <v>21</v>
      </c>
      <c r="AM317" s="97">
        <f t="shared" si="90"/>
        <v>835</v>
      </c>
      <c r="AN317" s="20">
        <f t="shared" si="89"/>
        <v>-310892210</v>
      </c>
      <c r="AO317" s="97"/>
    </row>
    <row r="318" spans="7:41">
      <c r="H318" s="9" t="s">
        <v>5513</v>
      </c>
      <c r="R318" s="97" t="s">
        <v>4666</v>
      </c>
      <c r="S318" s="93">
        <v>41248054</v>
      </c>
      <c r="U318" s="19" t="s">
        <v>5348</v>
      </c>
      <c r="V318" s="19">
        <v>1019</v>
      </c>
      <c r="W318" s="115">
        <v>835.36580000000004</v>
      </c>
      <c r="X318" s="115">
        <f t="shared" si="87"/>
        <v>851237.75020000001</v>
      </c>
      <c r="Y318" s="261" t="s">
        <v>452</v>
      </c>
      <c r="AI318" s="97">
        <v>27</v>
      </c>
      <c r="AJ318" s="97" t="s">
        <v>4541</v>
      </c>
      <c r="AK318" s="115">
        <v>235062</v>
      </c>
      <c r="AL318" s="97">
        <v>0</v>
      </c>
      <c r="AM318" s="97">
        <f t="shared" si="90"/>
        <v>814</v>
      </c>
      <c r="AN318" s="20">
        <f t="shared" si="89"/>
        <v>191340468</v>
      </c>
      <c r="AO318" s="97"/>
    </row>
    <row r="319" spans="7:41">
      <c r="H319" s="281" t="s">
        <v>5514</v>
      </c>
      <c r="R319" s="97" t="s">
        <v>4672</v>
      </c>
      <c r="S319" s="93">
        <v>37328780</v>
      </c>
      <c r="U319" s="187" t="s">
        <v>5354</v>
      </c>
      <c r="V319" s="187">
        <v>2316</v>
      </c>
      <c r="W319" s="186">
        <v>818.697</v>
      </c>
      <c r="X319" s="186">
        <f t="shared" si="87"/>
        <v>1896102.2520000001</v>
      </c>
      <c r="Y319" s="260" t="s">
        <v>5357</v>
      </c>
      <c r="AI319" s="147">
        <v>28</v>
      </c>
      <c r="AJ319" s="147" t="s">
        <v>4541</v>
      </c>
      <c r="AK319" s="186">
        <v>235062</v>
      </c>
      <c r="AL319" s="147">
        <v>9</v>
      </c>
      <c r="AM319" s="97">
        <f t="shared" si="90"/>
        <v>814</v>
      </c>
      <c r="AN319" s="147">
        <f t="shared" si="89"/>
        <v>191340468</v>
      </c>
      <c r="AO319" s="147" t="s">
        <v>649</v>
      </c>
    </row>
    <row r="320" spans="7:41">
      <c r="H320" s="281" t="s">
        <v>743</v>
      </c>
      <c r="R320" s="97" t="s">
        <v>4730</v>
      </c>
      <c r="S320" s="93">
        <v>50000000</v>
      </c>
      <c r="U320" s="19" t="s">
        <v>5360</v>
      </c>
      <c r="V320" s="19">
        <v>315</v>
      </c>
      <c r="W320" s="115">
        <v>680</v>
      </c>
      <c r="X320" s="115">
        <f t="shared" si="87"/>
        <v>214200</v>
      </c>
      <c r="Y320" s="261" t="s">
        <v>5103</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68656</v>
      </c>
      <c r="U321" s="19" t="s">
        <v>5382</v>
      </c>
      <c r="V321" s="19">
        <v>832</v>
      </c>
      <c r="W321" s="115">
        <v>784.36500000000001</v>
      </c>
      <c r="X321" s="115">
        <f t="shared" si="87"/>
        <v>652591.68000000005</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4739</v>
      </c>
      <c r="S322" s="93">
        <v>4000236</v>
      </c>
      <c r="U322" s="19" t="s">
        <v>5426</v>
      </c>
      <c r="V322" s="19">
        <v>382</v>
      </c>
      <c r="W322" s="115">
        <v>1450.6065000000001</v>
      </c>
      <c r="X322" s="115">
        <f t="shared" si="87"/>
        <v>554131.68300000008</v>
      </c>
      <c r="Y322" s="261" t="s">
        <v>5103</v>
      </c>
      <c r="Z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4744</v>
      </c>
      <c r="S323" s="93">
        <v>2250000</v>
      </c>
      <c r="U323" s="19" t="s">
        <v>5427</v>
      </c>
      <c r="V323" s="19">
        <v>50047</v>
      </c>
      <c r="W323" s="115">
        <v>1406.14</v>
      </c>
      <c r="X323" s="115">
        <f t="shared" si="87"/>
        <v>70373088.579999998</v>
      </c>
      <c r="Y323" s="261" t="s">
        <v>5103</v>
      </c>
      <c r="AA323" t="s">
        <v>25</v>
      </c>
      <c r="AI323" s="119">
        <v>32</v>
      </c>
      <c r="AJ323" s="119" t="s">
        <v>4622</v>
      </c>
      <c r="AK323" s="77">
        <v>288936</v>
      </c>
      <c r="AL323" s="119">
        <v>3</v>
      </c>
      <c r="AM323" s="119">
        <f t="shared" si="91"/>
        <v>783</v>
      </c>
      <c r="AN323" s="119">
        <f t="shared" si="92"/>
        <v>226236888</v>
      </c>
      <c r="AO323" s="201" t="s">
        <v>4633</v>
      </c>
    </row>
    <row r="324" spans="8:45">
      <c r="H324" s="281"/>
      <c r="R324" s="97" t="s">
        <v>4753</v>
      </c>
      <c r="S324" s="93">
        <v>-2512200</v>
      </c>
      <c r="U324" s="19" t="s">
        <v>5428</v>
      </c>
      <c r="V324" s="19">
        <v>846</v>
      </c>
      <c r="W324" s="115">
        <v>1441.6724569999999</v>
      </c>
      <c r="X324" s="115">
        <f t="shared" si="87"/>
        <v>1219654.8986219999</v>
      </c>
      <c r="Y324" s="261" t="s">
        <v>5103</v>
      </c>
      <c r="Z324" t="s">
        <v>25</v>
      </c>
      <c r="AA324" t="s">
        <v>25</v>
      </c>
      <c r="AI324" s="119">
        <v>33</v>
      </c>
      <c r="AJ324" s="119" t="s">
        <v>4631</v>
      </c>
      <c r="AK324" s="77">
        <v>17962491</v>
      </c>
      <c r="AL324" s="119">
        <v>1</v>
      </c>
      <c r="AM324" s="119">
        <f t="shared" si="91"/>
        <v>780</v>
      </c>
      <c r="AN324" s="119">
        <f t="shared" si="92"/>
        <v>14010742980</v>
      </c>
      <c r="AO324" s="119" t="s">
        <v>4638</v>
      </c>
    </row>
    <row r="325" spans="8:45">
      <c r="R325" s="97" t="s">
        <v>964</v>
      </c>
      <c r="S325" s="93">
        <v>300000</v>
      </c>
      <c r="U325" s="19" t="s">
        <v>5429</v>
      </c>
      <c r="V325" s="19">
        <v>10573</v>
      </c>
      <c r="W325" s="115">
        <v>1451.825</v>
      </c>
      <c r="X325" s="115">
        <f t="shared" si="87"/>
        <v>15350145.725</v>
      </c>
      <c r="Y325" s="261" t="s">
        <v>5103</v>
      </c>
      <c r="Z325" t="s">
        <v>25</v>
      </c>
      <c r="AI325" s="119">
        <v>34</v>
      </c>
      <c r="AJ325" s="119" t="s">
        <v>3666</v>
      </c>
      <c r="AK325" s="77">
        <v>18363511</v>
      </c>
      <c r="AL325" s="119">
        <v>1</v>
      </c>
      <c r="AM325" s="119">
        <f t="shared" si="91"/>
        <v>779</v>
      </c>
      <c r="AN325" s="119">
        <f t="shared" si="92"/>
        <v>14305175069</v>
      </c>
      <c r="AO325" s="119" t="s">
        <v>4638</v>
      </c>
    </row>
    <row r="326" spans="8:45" ht="30">
      <c r="R326" s="97" t="s">
        <v>4759</v>
      </c>
      <c r="S326" s="93">
        <v>1100000</v>
      </c>
      <c r="U326" s="19" t="s">
        <v>5430</v>
      </c>
      <c r="V326" s="19">
        <v>85</v>
      </c>
      <c r="W326" s="115">
        <v>1423.74</v>
      </c>
      <c r="X326" s="115">
        <f t="shared" si="87"/>
        <v>121017.9</v>
      </c>
      <c r="Y326" s="261" t="s">
        <v>5431</v>
      </c>
      <c r="Z326" t="s">
        <v>25</v>
      </c>
      <c r="AI326" s="119">
        <v>35</v>
      </c>
      <c r="AJ326" s="119" t="s">
        <v>4643</v>
      </c>
      <c r="AK326" s="77">
        <v>23622417</v>
      </c>
      <c r="AL326" s="119">
        <v>5</v>
      </c>
      <c r="AM326" s="119">
        <f t="shared" si="91"/>
        <v>778</v>
      </c>
      <c r="AN326" s="119">
        <f t="shared" si="92"/>
        <v>18378240426</v>
      </c>
      <c r="AO326" s="119" t="s">
        <v>4645</v>
      </c>
    </row>
    <row r="327" spans="8:45" ht="30">
      <c r="R327" s="97" t="s">
        <v>4779</v>
      </c>
      <c r="S327" s="93">
        <v>890000</v>
      </c>
      <c r="U327" s="19" t="s">
        <v>5434</v>
      </c>
      <c r="V327" s="19">
        <v>738</v>
      </c>
      <c r="W327" s="115">
        <v>1388.87895</v>
      </c>
      <c r="X327" s="115">
        <f t="shared" si="87"/>
        <v>1024992.6651</v>
      </c>
      <c r="Y327" s="261" t="s">
        <v>5438</v>
      </c>
      <c r="Z327" t="s">
        <v>25</v>
      </c>
      <c r="AI327" s="119">
        <v>36</v>
      </c>
      <c r="AJ327" s="119" t="s">
        <v>4657</v>
      </c>
      <c r="AK327" s="77">
        <v>82496108</v>
      </c>
      <c r="AL327" s="119">
        <v>1</v>
      </c>
      <c r="AM327" s="119">
        <f t="shared" si="91"/>
        <v>773</v>
      </c>
      <c r="AN327" s="119">
        <f t="shared" si="92"/>
        <v>63769491484</v>
      </c>
      <c r="AO327" s="119" t="s">
        <v>4660</v>
      </c>
    </row>
    <row r="328" spans="8:45">
      <c r="R328" s="97" t="s">
        <v>4780</v>
      </c>
      <c r="S328" s="93">
        <v>1000000</v>
      </c>
      <c r="U328" s="19" t="s">
        <v>5446</v>
      </c>
      <c r="V328" s="19">
        <v>1442</v>
      </c>
      <c r="W328" s="115">
        <v>1350.9547279999999</v>
      </c>
      <c r="X328" s="115">
        <f t="shared" si="87"/>
        <v>1948076.7177759998</v>
      </c>
      <c r="Y328" s="261" t="s">
        <v>5103</v>
      </c>
      <c r="AB328" t="s">
        <v>25</v>
      </c>
      <c r="AI328" s="119">
        <v>37</v>
      </c>
      <c r="AJ328" s="119" t="s">
        <v>4659</v>
      </c>
      <c r="AK328" s="77">
        <v>74657561</v>
      </c>
      <c r="AL328" s="119">
        <v>16</v>
      </c>
      <c r="AM328" s="119">
        <f t="shared" si="91"/>
        <v>772</v>
      </c>
      <c r="AN328" s="119">
        <f t="shared" si="92"/>
        <v>57635637092</v>
      </c>
      <c r="AO328" s="119" t="s">
        <v>4665</v>
      </c>
    </row>
    <row r="329" spans="8:45">
      <c r="R329" s="97" t="s">
        <v>4780</v>
      </c>
      <c r="S329" s="93">
        <v>45436311</v>
      </c>
      <c r="U329" s="19" t="s">
        <v>5447</v>
      </c>
      <c r="V329" s="19">
        <v>36847</v>
      </c>
      <c r="W329" s="115">
        <v>1356.9658300000001</v>
      </c>
      <c r="X329" s="115">
        <f t="shared" si="87"/>
        <v>50000119.938010007</v>
      </c>
      <c r="Y329" s="261" t="s">
        <v>5108</v>
      </c>
      <c r="AI329" s="97">
        <v>38</v>
      </c>
      <c r="AJ329" s="97" t="s">
        <v>4730</v>
      </c>
      <c r="AK329" s="115">
        <v>665000</v>
      </c>
      <c r="AL329" s="97">
        <v>0</v>
      </c>
      <c r="AM329" s="97">
        <f t="shared" si="91"/>
        <v>756</v>
      </c>
      <c r="AN329" s="20">
        <f t="shared" si="92"/>
        <v>502740000</v>
      </c>
      <c r="AO329" s="97"/>
    </row>
    <row r="330" spans="8:45" ht="30">
      <c r="R330" s="97" t="s">
        <v>4792</v>
      </c>
      <c r="S330" s="93">
        <v>-3500000</v>
      </c>
      <c r="U330" s="19" t="s">
        <v>5448</v>
      </c>
      <c r="V330" s="19">
        <v>13738</v>
      </c>
      <c r="W330" s="115">
        <v>1455.82</v>
      </c>
      <c r="X330" s="115">
        <f t="shared" si="87"/>
        <v>20000055.16</v>
      </c>
      <c r="Y330" s="261" t="s">
        <v>5464</v>
      </c>
      <c r="Z330" t="s">
        <v>25</v>
      </c>
      <c r="AB330" t="s">
        <v>25</v>
      </c>
      <c r="AI330" s="147">
        <v>39</v>
      </c>
      <c r="AJ330" s="147" t="s">
        <v>4730</v>
      </c>
      <c r="AK330" s="186">
        <v>665000</v>
      </c>
      <c r="AL330" s="147">
        <v>4</v>
      </c>
      <c r="AM330" s="192">
        <f t="shared" si="91"/>
        <v>756</v>
      </c>
      <c r="AN330" s="192">
        <f t="shared" si="92"/>
        <v>502740000</v>
      </c>
      <c r="AO330" s="192"/>
    </row>
    <row r="331" spans="8:45">
      <c r="R331" s="97" t="s">
        <v>4827</v>
      </c>
      <c r="S331" s="93">
        <v>2520000</v>
      </c>
      <c r="U331" s="19" t="s">
        <v>5471</v>
      </c>
      <c r="V331" s="19">
        <v>3100</v>
      </c>
      <c r="W331" s="115">
        <v>1853.4507470000001</v>
      </c>
      <c r="X331" s="115">
        <f t="shared" si="87"/>
        <v>5745697.3157000002</v>
      </c>
      <c r="Y331" s="261" t="s">
        <v>5103</v>
      </c>
      <c r="Z331" t="s">
        <v>25</v>
      </c>
      <c r="AI331" s="20">
        <v>40</v>
      </c>
      <c r="AJ331" s="20" t="s">
        <v>4739</v>
      </c>
      <c r="AK331" s="115">
        <v>2000000</v>
      </c>
      <c r="AL331" s="20">
        <v>1</v>
      </c>
      <c r="AM331" s="97">
        <f t="shared" si="91"/>
        <v>752</v>
      </c>
      <c r="AN331" s="20">
        <f t="shared" si="92"/>
        <v>1504000000</v>
      </c>
      <c r="AO331" s="97"/>
    </row>
    <row r="332" spans="8:45">
      <c r="R332" s="97" t="s">
        <v>4840</v>
      </c>
      <c r="S332" s="93">
        <v>4900000</v>
      </c>
      <c r="U332" s="19" t="s">
        <v>5472</v>
      </c>
      <c r="V332" s="19">
        <v>480</v>
      </c>
      <c r="W332" s="115">
        <v>1891.9962069999999</v>
      </c>
      <c r="X332" s="115">
        <f t="shared" si="87"/>
        <v>908158.17935999995</v>
      </c>
      <c r="Y332" s="261" t="s">
        <v>5103</v>
      </c>
      <c r="Z332" t="s">
        <v>25</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4799</v>
      </c>
      <c r="S333" s="93">
        <v>1150000</v>
      </c>
      <c r="U333" s="19" t="s">
        <v>5473</v>
      </c>
      <c r="V333" s="19">
        <v>6522</v>
      </c>
      <c r="W333" s="115">
        <v>1938.4694340000001</v>
      </c>
      <c r="X333" s="115">
        <f t="shared" si="87"/>
        <v>12642697.648548001</v>
      </c>
      <c r="Y333" s="261" t="s">
        <v>5103</v>
      </c>
      <c r="AI333" s="147">
        <v>42</v>
      </c>
      <c r="AJ333" s="147" t="s">
        <v>4744</v>
      </c>
      <c r="AK333" s="186">
        <v>-433375</v>
      </c>
      <c r="AL333" s="147">
        <v>0</v>
      </c>
      <c r="AM333" s="147">
        <f t="shared" si="91"/>
        <v>751</v>
      </c>
      <c r="AN333" s="147">
        <f t="shared" si="93"/>
        <v>-325464625</v>
      </c>
      <c r="AO333" s="147" t="s">
        <v>4746</v>
      </c>
    </row>
    <row r="334" spans="8:45">
      <c r="R334" s="97" t="s">
        <v>4874</v>
      </c>
      <c r="S334" s="93">
        <v>250000</v>
      </c>
      <c r="U334" s="19" t="s">
        <v>5474</v>
      </c>
      <c r="V334" s="19">
        <v>6197</v>
      </c>
      <c r="W334" s="115">
        <v>1984.3985499999999</v>
      </c>
      <c r="X334" s="115">
        <f t="shared" si="87"/>
        <v>12297317.81435</v>
      </c>
      <c r="Y334" s="261" t="s">
        <v>5103</v>
      </c>
      <c r="AB334" t="s">
        <v>25</v>
      </c>
      <c r="AI334" s="20">
        <v>43</v>
      </c>
      <c r="AJ334" s="20" t="s">
        <v>4744</v>
      </c>
      <c r="AK334" s="115">
        <v>28000000</v>
      </c>
      <c r="AL334" s="20">
        <v>1</v>
      </c>
      <c r="AM334" s="97">
        <f t="shared" si="91"/>
        <v>751</v>
      </c>
      <c r="AN334" s="20">
        <f t="shared" si="93"/>
        <v>21028000000</v>
      </c>
      <c r="AO334" s="97" t="s">
        <v>3873</v>
      </c>
    </row>
    <row r="335" spans="8:45">
      <c r="R335" s="97" t="s">
        <v>4877</v>
      </c>
      <c r="S335" s="93">
        <v>1403460</v>
      </c>
      <c r="U335" s="19" t="s">
        <v>5475</v>
      </c>
      <c r="V335" s="19">
        <v>4646</v>
      </c>
      <c r="W335" s="115">
        <v>1928.464023</v>
      </c>
      <c r="X335" s="115">
        <f t="shared" si="87"/>
        <v>8959643.8508579992</v>
      </c>
      <c r="Y335" s="261" t="s">
        <v>5103</v>
      </c>
      <c r="AA335" t="s">
        <v>25</v>
      </c>
      <c r="AB335" t="s">
        <v>25</v>
      </c>
      <c r="AI335" s="20">
        <v>44</v>
      </c>
      <c r="AJ335" s="20" t="s">
        <v>4753</v>
      </c>
      <c r="AK335" s="115">
        <v>160000</v>
      </c>
      <c r="AL335" s="20">
        <v>0</v>
      </c>
      <c r="AM335" s="97">
        <f t="shared" si="91"/>
        <v>750</v>
      </c>
      <c r="AN335" s="20">
        <f t="shared" si="93"/>
        <v>120000000</v>
      </c>
      <c r="AO335" s="97"/>
    </row>
    <row r="336" spans="8:45">
      <c r="R336" s="97" t="s">
        <v>4882</v>
      </c>
      <c r="S336" s="93">
        <v>200000</v>
      </c>
      <c r="U336" s="19" t="s">
        <v>5476</v>
      </c>
      <c r="V336" s="19">
        <v>7668</v>
      </c>
      <c r="W336" s="115">
        <v>1976.2774959999999</v>
      </c>
      <c r="X336" s="115">
        <f t="shared" si="87"/>
        <v>15154095.839328</v>
      </c>
      <c r="Y336" s="261" t="s">
        <v>5103</v>
      </c>
      <c r="AI336" s="147">
        <v>45</v>
      </c>
      <c r="AJ336" s="147" t="s">
        <v>4753</v>
      </c>
      <c r="AK336" s="186">
        <v>70000</v>
      </c>
      <c r="AL336" s="147">
        <v>9</v>
      </c>
      <c r="AM336" s="147">
        <f t="shared" si="91"/>
        <v>750</v>
      </c>
      <c r="AN336" s="147">
        <f t="shared" si="93"/>
        <v>52500000</v>
      </c>
      <c r="AO336" s="147"/>
      <c r="AS336" t="s">
        <v>25</v>
      </c>
    </row>
    <row r="337" spans="18:47" ht="30">
      <c r="R337" s="97" t="s">
        <v>4887</v>
      </c>
      <c r="S337" s="93">
        <v>345000</v>
      </c>
      <c r="U337" s="19" t="s">
        <v>5483</v>
      </c>
      <c r="V337" s="19">
        <v>-43325</v>
      </c>
      <c r="W337" s="115">
        <v>2146.5548840000001</v>
      </c>
      <c r="X337" s="115">
        <f t="shared" si="87"/>
        <v>-92999490.349300012</v>
      </c>
      <c r="Y337" s="261" t="s">
        <v>5484</v>
      </c>
      <c r="Z337" t="s">
        <v>25</v>
      </c>
      <c r="AI337" s="20">
        <v>46</v>
      </c>
      <c r="AJ337" s="20" t="s">
        <v>4759</v>
      </c>
      <c r="AK337" s="115">
        <v>850000</v>
      </c>
      <c r="AL337" s="20">
        <v>0</v>
      </c>
      <c r="AM337" s="97">
        <f t="shared" si="91"/>
        <v>741</v>
      </c>
      <c r="AN337" s="20">
        <f t="shared" si="93"/>
        <v>629850000</v>
      </c>
      <c r="AO337" s="97"/>
      <c r="AT337" t="s">
        <v>25</v>
      </c>
    </row>
    <row r="338" spans="18:47">
      <c r="R338" s="97" t="s">
        <v>4890</v>
      </c>
      <c r="S338" s="93">
        <v>900000</v>
      </c>
      <c r="T338" s="112"/>
      <c r="U338" s="19" t="s">
        <v>5491</v>
      </c>
      <c r="V338" s="19">
        <v>20888</v>
      </c>
      <c r="W338" s="115">
        <v>2428.4521530000002</v>
      </c>
      <c r="X338" s="115">
        <f t="shared" si="87"/>
        <v>50725508.571864001</v>
      </c>
      <c r="Y338" s="261" t="s">
        <v>5103</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4898</v>
      </c>
      <c r="S339" s="93">
        <v>372517</v>
      </c>
      <c r="U339" s="19" t="s">
        <v>5492</v>
      </c>
      <c r="V339" s="19">
        <v>21663</v>
      </c>
      <c r="W339" s="115">
        <v>2308.0067819999999</v>
      </c>
      <c r="X339" s="115">
        <f t="shared" si="87"/>
        <v>49998350.918466002</v>
      </c>
      <c r="Y339" s="261" t="s">
        <v>5495</v>
      </c>
      <c r="Z339" t="s">
        <v>25</v>
      </c>
      <c r="AI339" s="192">
        <v>48</v>
      </c>
      <c r="AJ339" s="192" t="s">
        <v>4772</v>
      </c>
      <c r="AK339" s="193">
        <v>30000000</v>
      </c>
      <c r="AL339" s="192">
        <v>27</v>
      </c>
      <c r="AM339" s="192">
        <f t="shared" si="94"/>
        <v>737</v>
      </c>
      <c r="AN339" s="192">
        <f t="shared" si="95"/>
        <v>22110000000</v>
      </c>
      <c r="AO339" s="192" t="s">
        <v>4773</v>
      </c>
      <c r="AT339" t="s">
        <v>25</v>
      </c>
    </row>
    <row r="340" spans="18:47">
      <c r="R340" s="97" t="s">
        <v>4931</v>
      </c>
      <c r="S340" s="93">
        <v>6489257</v>
      </c>
      <c r="U340" s="19" t="s">
        <v>5492</v>
      </c>
      <c r="V340" s="19">
        <v>977</v>
      </c>
      <c r="W340" s="115">
        <v>2335.6821479999999</v>
      </c>
      <c r="X340" s="115">
        <f t="shared" si="87"/>
        <v>2281961.458596</v>
      </c>
      <c r="Y340" s="261" t="s">
        <v>5103</v>
      </c>
      <c r="AI340" s="20">
        <v>49</v>
      </c>
      <c r="AJ340" s="20" t="s">
        <v>4840</v>
      </c>
      <c r="AK340" s="115">
        <v>1100000</v>
      </c>
      <c r="AL340" s="20">
        <v>1</v>
      </c>
      <c r="AM340" s="20">
        <f t="shared" si="94"/>
        <v>710</v>
      </c>
      <c r="AN340" s="20">
        <f t="shared" si="95"/>
        <v>781000000</v>
      </c>
      <c r="AO340" s="20"/>
    </row>
    <row r="341" spans="18:47">
      <c r="R341" s="97" t="s">
        <v>4942</v>
      </c>
      <c r="S341" s="93">
        <v>618000</v>
      </c>
      <c r="U341" s="19" t="s">
        <v>5499</v>
      </c>
      <c r="V341" s="19">
        <v>4155</v>
      </c>
      <c r="W341" s="115">
        <v>2647</v>
      </c>
      <c r="X341" s="115">
        <f t="shared" si="87"/>
        <v>10998285</v>
      </c>
      <c r="Y341" s="261" t="s">
        <v>5103</v>
      </c>
      <c r="AI341" s="20">
        <v>50</v>
      </c>
      <c r="AJ341" s="20" t="s">
        <v>4841</v>
      </c>
      <c r="AK341" s="115">
        <v>450000</v>
      </c>
      <c r="AL341" s="20">
        <v>0</v>
      </c>
      <c r="AM341" s="20">
        <f t="shared" si="94"/>
        <v>709</v>
      </c>
      <c r="AN341" s="20">
        <f t="shared" si="95"/>
        <v>319050000</v>
      </c>
      <c r="AO341" s="20"/>
    </row>
    <row r="342" spans="18:47">
      <c r="R342" s="97" t="s">
        <v>4946</v>
      </c>
      <c r="S342" s="93">
        <v>20105000</v>
      </c>
      <c r="U342" s="19" t="s">
        <v>5500</v>
      </c>
      <c r="V342" s="19">
        <v>351</v>
      </c>
      <c r="W342" s="115">
        <v>2800.6238229999999</v>
      </c>
      <c r="X342" s="115">
        <f t="shared" si="87"/>
        <v>983018.96187300002</v>
      </c>
      <c r="Y342" s="261" t="s">
        <v>5103</v>
      </c>
      <c r="Z342" t="s">
        <v>25</v>
      </c>
      <c r="AI342" s="147">
        <v>51</v>
      </c>
      <c r="AJ342" s="147" t="s">
        <v>4841</v>
      </c>
      <c r="AK342" s="186">
        <v>550000</v>
      </c>
      <c r="AL342" s="147">
        <v>1</v>
      </c>
      <c r="AM342" s="147">
        <f t="shared" si="94"/>
        <v>709</v>
      </c>
      <c r="AN342" s="147">
        <f t="shared" si="95"/>
        <v>389950000</v>
      </c>
      <c r="AO342" s="147"/>
    </row>
    <row r="343" spans="18:47">
      <c r="R343" s="97" t="s">
        <v>4947</v>
      </c>
      <c r="S343" s="93">
        <v>-21079990</v>
      </c>
      <c r="U343" s="19" t="s">
        <v>5502</v>
      </c>
      <c r="V343" s="19">
        <v>5877</v>
      </c>
      <c r="W343" s="115">
        <v>2901.0160000000001</v>
      </c>
      <c r="X343" s="115">
        <f t="shared" si="87"/>
        <v>17049271.032000002</v>
      </c>
      <c r="Y343" s="261" t="s">
        <v>5103</v>
      </c>
      <c r="Z343" t="s">
        <v>25</v>
      </c>
      <c r="AI343" s="147">
        <v>52</v>
      </c>
      <c r="AJ343" s="147" t="s">
        <v>4843</v>
      </c>
      <c r="AK343" s="186">
        <v>1000000</v>
      </c>
      <c r="AL343" s="147">
        <v>8</v>
      </c>
      <c r="AM343" s="147">
        <f t="shared" si="94"/>
        <v>708</v>
      </c>
      <c r="AN343" s="147">
        <f t="shared" si="95"/>
        <v>708000000</v>
      </c>
      <c r="AO343" s="147"/>
    </row>
    <row r="344" spans="18:47">
      <c r="R344" s="97" t="s">
        <v>4953</v>
      </c>
      <c r="S344" s="93">
        <v>-5949277</v>
      </c>
      <c r="U344" s="19" t="s">
        <v>5505</v>
      </c>
      <c r="V344" s="19">
        <v>2374</v>
      </c>
      <c r="W344" s="115">
        <v>2877</v>
      </c>
      <c r="X344" s="115">
        <f t="shared" ref="X344:X381" si="96">V344*W344</f>
        <v>6829998</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-15370656</v>
      </c>
      <c r="U345" s="19" t="s">
        <v>4209</v>
      </c>
      <c r="V345" s="19">
        <v>2532</v>
      </c>
      <c r="W345" s="115">
        <v>2757.7444</v>
      </c>
      <c r="X345" s="115">
        <f t="shared" si="96"/>
        <v>6982608.8207999999</v>
      </c>
      <c r="Y345" s="261" t="s">
        <v>5103</v>
      </c>
      <c r="AI345" s="147">
        <v>54</v>
      </c>
      <c r="AJ345" s="147" t="s">
        <v>4852</v>
      </c>
      <c r="AK345" s="186">
        <v>-1528620</v>
      </c>
      <c r="AL345" s="147">
        <v>0</v>
      </c>
      <c r="AM345" s="147">
        <f t="shared" si="94"/>
        <v>700</v>
      </c>
      <c r="AN345" s="147">
        <f t="shared" si="95"/>
        <v>-1070034000</v>
      </c>
      <c r="AO345" s="147" t="s">
        <v>4854</v>
      </c>
    </row>
    <row r="346" spans="18:47">
      <c r="R346" s="97" t="s">
        <v>4959</v>
      </c>
      <c r="S346" s="93">
        <v>4960000</v>
      </c>
      <c r="U346" s="19" t="s">
        <v>4209</v>
      </c>
      <c r="V346" s="19">
        <v>4987</v>
      </c>
      <c r="W346" s="115">
        <v>2757.7444</v>
      </c>
      <c r="X346" s="115">
        <f t="shared" si="96"/>
        <v>13752871.322800001</v>
      </c>
      <c r="Y346" s="261" t="s">
        <v>5520</v>
      </c>
      <c r="Z346" t="s">
        <v>25</v>
      </c>
      <c r="AI346" s="20">
        <v>55</v>
      </c>
      <c r="AJ346" s="20" t="s">
        <v>4852</v>
      </c>
      <c r="AK346" s="115">
        <v>50000000</v>
      </c>
      <c r="AL346" s="20">
        <v>4</v>
      </c>
      <c r="AM346" s="20">
        <f t="shared" si="94"/>
        <v>700</v>
      </c>
      <c r="AN346" s="20">
        <f t="shared" si="95"/>
        <v>35000000000</v>
      </c>
      <c r="AO346" s="20"/>
    </row>
    <row r="347" spans="18:47">
      <c r="R347" s="97" t="s">
        <v>4966</v>
      </c>
      <c r="S347" s="93">
        <v>10000000</v>
      </c>
      <c r="T347" t="s">
        <v>25</v>
      </c>
      <c r="U347" s="19" t="s">
        <v>4209</v>
      </c>
      <c r="V347" s="19">
        <v>997</v>
      </c>
      <c r="W347" s="115">
        <v>2757.7444</v>
      </c>
      <c r="X347" s="115">
        <f t="shared" si="96"/>
        <v>2749471.1668000002</v>
      </c>
      <c r="Y347" s="261" t="s">
        <v>5521</v>
      </c>
      <c r="AI347" s="20">
        <v>56</v>
      </c>
      <c r="AJ347" s="20" t="s">
        <v>4858</v>
      </c>
      <c r="AK347" s="115">
        <v>400000</v>
      </c>
      <c r="AL347" s="20">
        <v>4</v>
      </c>
      <c r="AM347" s="20">
        <f t="shared" ref="AM347:AM356" si="97">AL347+AM348</f>
        <v>696</v>
      </c>
      <c r="AN347" s="20">
        <f t="shared" ref="AN347:AN356" si="98">AK347*AM347</f>
        <v>278400000</v>
      </c>
      <c r="AO347" s="20"/>
    </row>
    <row r="348" spans="18:47">
      <c r="R348" s="97" t="s">
        <v>4975</v>
      </c>
      <c r="S348" s="93">
        <v>-40570100</v>
      </c>
      <c r="U348" s="19" t="s">
        <v>5525</v>
      </c>
      <c r="V348" s="19">
        <v>2874</v>
      </c>
      <c r="W348" s="115">
        <v>2613.1284000000001</v>
      </c>
      <c r="X348" s="115">
        <f t="shared" si="96"/>
        <v>7510131.0216000006</v>
      </c>
      <c r="Y348" s="261" t="s">
        <v>5103</v>
      </c>
      <c r="AI348" s="20">
        <v>57</v>
      </c>
      <c r="AJ348" s="20" t="s">
        <v>4867</v>
      </c>
      <c r="AK348" s="115">
        <v>2000000</v>
      </c>
      <c r="AL348" s="20">
        <v>3</v>
      </c>
      <c r="AM348" s="20">
        <f t="shared" si="97"/>
        <v>692</v>
      </c>
      <c r="AN348" s="20">
        <f t="shared" si="98"/>
        <v>1384000000</v>
      </c>
      <c r="AO348" s="20"/>
    </row>
    <row r="349" spans="18:47">
      <c r="R349" s="97" t="s">
        <v>4976</v>
      </c>
      <c r="S349" s="93">
        <v>1000000</v>
      </c>
      <c r="U349" s="19" t="s">
        <v>5531</v>
      </c>
      <c r="V349" s="19">
        <v>2847</v>
      </c>
      <c r="W349" s="115">
        <v>2556.3841000000002</v>
      </c>
      <c r="X349" s="115">
        <f t="shared" si="96"/>
        <v>7278025.5327000003</v>
      </c>
      <c r="Y349" s="261" t="s">
        <v>5103</v>
      </c>
      <c r="AI349" s="20">
        <v>58</v>
      </c>
      <c r="AJ349" s="20" t="s">
        <v>4870</v>
      </c>
      <c r="AK349" s="115">
        <v>100000</v>
      </c>
      <c r="AL349" s="20">
        <v>4</v>
      </c>
      <c r="AM349" s="20">
        <f t="shared" si="97"/>
        <v>689</v>
      </c>
      <c r="AN349" s="20">
        <f t="shared" si="98"/>
        <v>68900000</v>
      </c>
      <c r="AO349" s="20" t="s">
        <v>3873</v>
      </c>
    </row>
    <row r="350" spans="18:47">
      <c r="R350" s="97" t="s">
        <v>4983</v>
      </c>
      <c r="S350" s="93">
        <v>400000</v>
      </c>
      <c r="U350" s="19" t="s">
        <v>5531</v>
      </c>
      <c r="V350" s="19">
        <v>1222</v>
      </c>
      <c r="W350" s="115">
        <v>2556.3841000000002</v>
      </c>
      <c r="X350" s="115">
        <f t="shared" si="96"/>
        <v>3123901.3702000002</v>
      </c>
      <c r="Y350" s="261" t="s">
        <v>5532</v>
      </c>
      <c r="AI350" s="20">
        <v>59</v>
      </c>
      <c r="AJ350" s="20" t="s">
        <v>4877</v>
      </c>
      <c r="AK350" s="115">
        <v>100000</v>
      </c>
      <c r="AL350" s="20">
        <v>7</v>
      </c>
      <c r="AM350" s="20">
        <f t="shared" si="97"/>
        <v>685</v>
      </c>
      <c r="AN350" s="20">
        <f t="shared" si="98"/>
        <v>68500000</v>
      </c>
      <c r="AO350" s="20"/>
    </row>
    <row r="351" spans="18:47">
      <c r="R351" s="97" t="s">
        <v>4997</v>
      </c>
      <c r="S351" s="93">
        <v>120000</v>
      </c>
      <c r="U351" s="19" t="s">
        <v>5540</v>
      </c>
      <c r="V351" s="19">
        <v>73</v>
      </c>
      <c r="W351" s="115">
        <v>2672.0459999999998</v>
      </c>
      <c r="X351" s="115">
        <f t="shared" si="96"/>
        <v>195059.35799999998</v>
      </c>
      <c r="Y351" s="261" t="s">
        <v>5103</v>
      </c>
      <c r="AI351" s="20">
        <v>60</v>
      </c>
      <c r="AJ351" s="20" t="s">
        <v>4890</v>
      </c>
      <c r="AK351" s="115">
        <v>50000</v>
      </c>
      <c r="AL351" s="20">
        <v>0</v>
      </c>
      <c r="AM351" s="20">
        <f t="shared" si="97"/>
        <v>678</v>
      </c>
      <c r="AN351" s="20">
        <f t="shared" si="98"/>
        <v>33900000</v>
      </c>
      <c r="AO351" s="20"/>
    </row>
    <row r="352" spans="18:47" ht="30">
      <c r="R352" s="97" t="s">
        <v>4988</v>
      </c>
      <c r="S352" s="93">
        <v>500000</v>
      </c>
      <c r="U352" s="19" t="s">
        <v>5545</v>
      </c>
      <c r="V352" s="19">
        <v>332</v>
      </c>
      <c r="W352" s="115">
        <v>2598.1260000000002</v>
      </c>
      <c r="X352" s="115">
        <f t="shared" si="96"/>
        <v>862577.83200000005</v>
      </c>
      <c r="Y352" s="261" t="s">
        <v>5546</v>
      </c>
      <c r="Z352" t="s">
        <v>25</v>
      </c>
      <c r="AA352" t="s">
        <v>25</v>
      </c>
      <c r="AI352" s="147">
        <v>61</v>
      </c>
      <c r="AJ352" s="147" t="s">
        <v>4890</v>
      </c>
      <c r="AK352" s="186">
        <v>50000</v>
      </c>
      <c r="AL352" s="147">
        <v>3</v>
      </c>
      <c r="AM352" s="147">
        <f t="shared" si="97"/>
        <v>678</v>
      </c>
      <c r="AN352" s="147">
        <f t="shared" si="98"/>
        <v>33900000</v>
      </c>
      <c r="AO352" s="147"/>
    </row>
    <row r="353" spans="18:46">
      <c r="R353" s="97" t="s">
        <v>5013</v>
      </c>
      <c r="S353" s="93">
        <v>744000</v>
      </c>
      <c r="U353" s="19" t="s">
        <v>5547</v>
      </c>
      <c r="V353" s="19">
        <v>346</v>
      </c>
      <c r="W353" s="115">
        <v>2659.8510000000001</v>
      </c>
      <c r="X353" s="115">
        <f t="shared" si="96"/>
        <v>920308.446</v>
      </c>
      <c r="Y353" s="261" t="s">
        <v>5103</v>
      </c>
      <c r="AI353" s="20">
        <v>62</v>
      </c>
      <c r="AJ353" s="20" t="s">
        <v>4893</v>
      </c>
      <c r="AK353" s="115">
        <v>50000</v>
      </c>
      <c r="AL353" s="20">
        <v>0</v>
      </c>
      <c r="AM353" s="20">
        <f t="shared" si="97"/>
        <v>675</v>
      </c>
      <c r="AN353" s="20">
        <f t="shared" si="98"/>
        <v>33750000</v>
      </c>
      <c r="AO353" s="20"/>
    </row>
    <row r="354" spans="18:46">
      <c r="R354" s="97" t="s">
        <v>5018</v>
      </c>
      <c r="S354" s="93">
        <v>65000</v>
      </c>
      <c r="U354" s="19" t="s">
        <v>5548</v>
      </c>
      <c r="V354" s="19">
        <v>1722</v>
      </c>
      <c r="W354" s="115">
        <v>2692.1079220000001</v>
      </c>
      <c r="X354" s="115">
        <f t="shared" si="96"/>
        <v>4635809.8416840006</v>
      </c>
      <c r="Y354" s="261" t="s">
        <v>5103</v>
      </c>
      <c r="Z354" t="s">
        <v>25</v>
      </c>
      <c r="AI354" s="192">
        <v>63</v>
      </c>
      <c r="AJ354" s="192" t="s">
        <v>4893</v>
      </c>
      <c r="AK354" s="193">
        <v>50000</v>
      </c>
      <c r="AL354" s="192">
        <v>2</v>
      </c>
      <c r="AM354" s="192">
        <f t="shared" si="97"/>
        <v>675</v>
      </c>
      <c r="AN354" s="192">
        <f t="shared" si="98"/>
        <v>33750000</v>
      </c>
      <c r="AO354" s="192"/>
    </row>
    <row r="355" spans="18:46">
      <c r="R355" s="97" t="s">
        <v>4989</v>
      </c>
      <c r="S355" s="93">
        <v>-14053702</v>
      </c>
      <c r="U355" s="19" t="s">
        <v>5550</v>
      </c>
      <c r="V355" s="19">
        <v>106</v>
      </c>
      <c r="W355" s="115">
        <v>2725.4</v>
      </c>
      <c r="X355" s="115">
        <f t="shared" si="96"/>
        <v>288892.40000000002</v>
      </c>
      <c r="Y355" s="261" t="s">
        <v>452</v>
      </c>
      <c r="Z355" t="s">
        <v>25</v>
      </c>
      <c r="AA355" t="s">
        <v>25</v>
      </c>
      <c r="AI355" s="20">
        <v>64</v>
      </c>
      <c r="AJ355" s="20" t="s">
        <v>4900</v>
      </c>
      <c r="AK355" s="115">
        <v>25000</v>
      </c>
      <c r="AL355" s="20">
        <v>0</v>
      </c>
      <c r="AM355" s="20">
        <f t="shared" si="97"/>
        <v>673</v>
      </c>
      <c r="AN355" s="20">
        <f t="shared" si="98"/>
        <v>16825000</v>
      </c>
      <c r="AO355" s="20"/>
    </row>
    <row r="356" spans="18:46">
      <c r="R356" s="97" t="s">
        <v>5054</v>
      </c>
      <c r="S356" s="93">
        <v>3555678</v>
      </c>
      <c r="U356" s="19" t="s">
        <v>5578</v>
      </c>
      <c r="V356" s="19">
        <v>25901</v>
      </c>
      <c r="W356" s="115">
        <v>2258.9090000000001</v>
      </c>
      <c r="X356" s="115">
        <f t="shared" si="96"/>
        <v>58508002.009000003</v>
      </c>
      <c r="Y356" s="261" t="s">
        <v>5103</v>
      </c>
      <c r="AI356" s="147">
        <v>65</v>
      </c>
      <c r="AJ356" s="147" t="s">
        <v>4900</v>
      </c>
      <c r="AK356" s="186">
        <v>35000</v>
      </c>
      <c r="AL356" s="147">
        <v>7</v>
      </c>
      <c r="AM356" s="147">
        <f t="shared" si="97"/>
        <v>673</v>
      </c>
      <c r="AN356" s="147">
        <f t="shared" si="98"/>
        <v>23555000</v>
      </c>
      <c r="AO356" s="147"/>
    </row>
    <row r="357" spans="18:46">
      <c r="R357" s="97" t="s">
        <v>5058</v>
      </c>
      <c r="S357" s="93">
        <v>3495</v>
      </c>
      <c r="U357" s="19" t="s">
        <v>5580</v>
      </c>
      <c r="V357" s="19">
        <v>951</v>
      </c>
      <c r="W357" s="115">
        <v>2361.2150799999999</v>
      </c>
      <c r="X357" s="115">
        <f t="shared" si="96"/>
        <v>2245515.5410799999</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5060</v>
      </c>
      <c r="S358" s="93">
        <v>6000000</v>
      </c>
      <c r="U358" s="19" t="s">
        <v>5582</v>
      </c>
      <c r="V358" s="19">
        <v>7622</v>
      </c>
      <c r="W358" s="115">
        <v>2414.6810999999998</v>
      </c>
      <c r="X358" s="115">
        <f t="shared" si="96"/>
        <v>18404699.3442</v>
      </c>
      <c r="Y358" s="261" t="s">
        <v>5103</v>
      </c>
      <c r="AI358" s="20">
        <v>67</v>
      </c>
      <c r="AJ358" s="20" t="s">
        <v>4908</v>
      </c>
      <c r="AK358" s="115">
        <v>6800000</v>
      </c>
      <c r="AL358" s="20">
        <v>1</v>
      </c>
      <c r="AM358" s="20">
        <f t="shared" si="99"/>
        <v>666</v>
      </c>
      <c r="AN358" s="20">
        <f t="shared" si="100"/>
        <v>4528800000</v>
      </c>
      <c r="AO358" s="20"/>
      <c r="AT358" t="s">
        <v>25</v>
      </c>
    </row>
    <row r="359" spans="18:46" ht="21" customHeight="1">
      <c r="R359" s="97" t="s">
        <v>5061</v>
      </c>
      <c r="S359" s="93">
        <v>17220</v>
      </c>
      <c r="U359" s="19" t="s">
        <v>5582</v>
      </c>
      <c r="V359" s="19">
        <v>-282</v>
      </c>
      <c r="W359" s="115">
        <v>2414.6810999999998</v>
      </c>
      <c r="X359" s="115">
        <f t="shared" si="96"/>
        <v>-680940.07019999996</v>
      </c>
      <c r="Y359" s="261" t="s">
        <v>5583</v>
      </c>
      <c r="AI359" s="20">
        <v>68</v>
      </c>
      <c r="AJ359" s="20" t="s">
        <v>4911</v>
      </c>
      <c r="AK359" s="115">
        <v>500000</v>
      </c>
      <c r="AL359" s="20">
        <v>1</v>
      </c>
      <c r="AM359" s="20">
        <f t="shared" si="99"/>
        <v>665</v>
      </c>
      <c r="AN359" s="20">
        <f t="shared" si="100"/>
        <v>332500000</v>
      </c>
      <c r="AO359" s="20"/>
    </row>
    <row r="360" spans="18:46">
      <c r="R360" s="97" t="s">
        <v>5063</v>
      </c>
      <c r="S360" s="93">
        <v>8249</v>
      </c>
      <c r="U360" s="19" t="s">
        <v>5582</v>
      </c>
      <c r="V360" s="19">
        <v>20162</v>
      </c>
      <c r="W360" s="115">
        <v>2414.6810999999998</v>
      </c>
      <c r="X360" s="115">
        <f t="shared" si="96"/>
        <v>48684800.338199995</v>
      </c>
      <c r="Y360" s="261" t="s">
        <v>5584</v>
      </c>
      <c r="AI360" s="20">
        <v>69</v>
      </c>
      <c r="AJ360" s="20" t="s">
        <v>4915</v>
      </c>
      <c r="AK360" s="115">
        <v>850000</v>
      </c>
      <c r="AL360" s="20">
        <v>5</v>
      </c>
      <c r="AM360" s="20">
        <f t="shared" si="99"/>
        <v>664</v>
      </c>
      <c r="AN360" s="20">
        <f t="shared" si="100"/>
        <v>564400000</v>
      </c>
      <c r="AO360" s="20"/>
    </row>
    <row r="361" spans="18:46">
      <c r="R361" s="97" t="s">
        <v>5063</v>
      </c>
      <c r="S361" s="93">
        <v>6937</v>
      </c>
      <c r="U361" s="19" t="s">
        <v>5582</v>
      </c>
      <c r="V361" s="19">
        <v>-20162</v>
      </c>
      <c r="W361" s="115">
        <v>2414.6810999999998</v>
      </c>
      <c r="X361" s="115">
        <f t="shared" si="96"/>
        <v>-48684800.338199995</v>
      </c>
      <c r="Y361" s="261" t="s">
        <v>743</v>
      </c>
      <c r="AI361" s="20">
        <v>70</v>
      </c>
      <c r="AJ361" s="20" t="s">
        <v>4923</v>
      </c>
      <c r="AK361" s="115">
        <v>1130250</v>
      </c>
      <c r="AL361" s="20">
        <v>0</v>
      </c>
      <c r="AM361" s="20">
        <f t="shared" si="99"/>
        <v>659</v>
      </c>
      <c r="AN361" s="20">
        <f t="shared" si="100"/>
        <v>744834750</v>
      </c>
      <c r="AO361" s="20"/>
    </row>
    <row r="362" spans="18:46" ht="18.75" customHeight="1">
      <c r="R362" s="97" t="s">
        <v>5066</v>
      </c>
      <c r="S362" s="93">
        <v>4046552</v>
      </c>
      <c r="U362" s="19" t="s">
        <v>5585</v>
      </c>
      <c r="V362" s="19">
        <v>977</v>
      </c>
      <c r="W362" s="115">
        <v>2317.971947</v>
      </c>
      <c r="X362" s="115">
        <f t="shared" si="96"/>
        <v>2264658.5922190002</v>
      </c>
      <c r="Y362" s="261" t="s">
        <v>5103</v>
      </c>
      <c r="AI362" s="240">
        <v>71</v>
      </c>
      <c r="AJ362" s="240" t="s">
        <v>4923</v>
      </c>
      <c r="AK362" s="231">
        <v>30000</v>
      </c>
      <c r="AL362" s="240">
        <v>5</v>
      </c>
      <c r="AM362" s="240">
        <f t="shared" si="99"/>
        <v>659</v>
      </c>
      <c r="AN362" s="240">
        <f t="shared" si="100"/>
        <v>19770000</v>
      </c>
      <c r="AO362" s="240"/>
    </row>
    <row r="363" spans="18:46">
      <c r="R363" s="97" t="s">
        <v>5073</v>
      </c>
      <c r="S363" s="93">
        <v>-3884943</v>
      </c>
      <c r="T363" t="s">
        <v>25</v>
      </c>
      <c r="U363" s="19" t="s">
        <v>5587</v>
      </c>
      <c r="V363" s="19">
        <v>10280</v>
      </c>
      <c r="W363" s="115">
        <v>2225.429357</v>
      </c>
      <c r="X363" s="115">
        <f t="shared" si="96"/>
        <v>22877413.789960001</v>
      </c>
      <c r="Y363" s="261" t="s">
        <v>5103</v>
      </c>
      <c r="AI363" s="20">
        <v>72</v>
      </c>
      <c r="AJ363" s="20" t="s">
        <v>4931</v>
      </c>
      <c r="AK363" s="115">
        <v>206000</v>
      </c>
      <c r="AL363" s="20">
        <v>0</v>
      </c>
      <c r="AM363" s="20">
        <f t="shared" si="99"/>
        <v>654</v>
      </c>
      <c r="AN363" s="20">
        <f t="shared" si="100"/>
        <v>134724000</v>
      </c>
      <c r="AO363" s="20"/>
    </row>
    <row r="364" spans="18:46">
      <c r="R364" s="97" t="s">
        <v>5099</v>
      </c>
      <c r="S364" s="93">
        <v>6022</v>
      </c>
      <c r="U364" s="19" t="s">
        <v>5590</v>
      </c>
      <c r="V364" s="19">
        <v>1022</v>
      </c>
      <c r="W364" s="115">
        <v>2311.6824240000001</v>
      </c>
      <c r="X364" s="115">
        <f t="shared" si="96"/>
        <v>2362539.4373280001</v>
      </c>
      <c r="Y364" s="261" t="s">
        <v>5103</v>
      </c>
      <c r="AI364" s="147">
        <v>73</v>
      </c>
      <c r="AJ364" s="147" t="s">
        <v>4931</v>
      </c>
      <c r="AK364" s="186">
        <v>206000</v>
      </c>
      <c r="AL364" s="147">
        <v>2</v>
      </c>
      <c r="AM364" s="147">
        <f t="shared" si="99"/>
        <v>654</v>
      </c>
      <c r="AN364" s="147">
        <f t="shared" si="100"/>
        <v>134724000</v>
      </c>
      <c r="AO364" s="147"/>
    </row>
    <row r="365" spans="18:46">
      <c r="R365" s="97" t="s">
        <v>5102</v>
      </c>
      <c r="S365" s="93">
        <v>400000</v>
      </c>
      <c r="U365" s="19" t="s">
        <v>5591</v>
      </c>
      <c r="V365" s="19">
        <v>6818</v>
      </c>
      <c r="W365" s="115">
        <v>2352.988656</v>
      </c>
      <c r="X365" s="115">
        <f t="shared" si="96"/>
        <v>16042676.656608</v>
      </c>
      <c r="Y365" s="261" t="s">
        <v>5103</v>
      </c>
      <c r="AI365" s="20">
        <v>74</v>
      </c>
      <c r="AJ365" s="20" t="s">
        <v>4938</v>
      </c>
      <c r="AK365" s="115">
        <v>50000</v>
      </c>
      <c r="AL365" s="20">
        <v>0</v>
      </c>
      <c r="AM365" s="20">
        <f t="shared" si="99"/>
        <v>652</v>
      </c>
      <c r="AN365" s="20">
        <f t="shared" si="100"/>
        <v>32600000</v>
      </c>
      <c r="AO365" s="20"/>
    </row>
    <row r="366" spans="18:46">
      <c r="R366" s="97" t="s">
        <v>5102</v>
      </c>
      <c r="S366" s="93">
        <v>92847</v>
      </c>
      <c r="U366" s="19" t="s">
        <v>5592</v>
      </c>
      <c r="V366" s="19">
        <v>8023</v>
      </c>
      <c r="W366" s="115">
        <v>2293.8167079999998</v>
      </c>
      <c r="X366" s="115">
        <f t="shared" si="96"/>
        <v>18403291.448284</v>
      </c>
      <c r="Y366" s="261" t="s">
        <v>5103</v>
      </c>
      <c r="AI366" s="240">
        <v>75</v>
      </c>
      <c r="AJ366" s="240" t="s">
        <v>4938</v>
      </c>
      <c r="AK366" s="231">
        <v>50000</v>
      </c>
      <c r="AL366" s="240">
        <v>2</v>
      </c>
      <c r="AM366" s="240">
        <f t="shared" si="99"/>
        <v>652</v>
      </c>
      <c r="AN366" s="240">
        <f t="shared" si="100"/>
        <v>32600000</v>
      </c>
      <c r="AO366" s="240"/>
    </row>
    <row r="367" spans="18:46">
      <c r="R367" s="97" t="s">
        <v>5106</v>
      </c>
      <c r="S367" s="93">
        <v>-100000</v>
      </c>
      <c r="U367" s="19" t="s">
        <v>5595</v>
      </c>
      <c r="V367" s="19">
        <v>4666</v>
      </c>
      <c r="W367" s="115">
        <v>2263.4906230000001</v>
      </c>
      <c r="X367" s="115">
        <f t="shared" si="96"/>
        <v>10561447.246918</v>
      </c>
      <c r="Y367" s="261" t="s">
        <v>5103</v>
      </c>
      <c r="AI367" s="20">
        <v>76</v>
      </c>
      <c r="AJ367" s="20" t="s">
        <v>4942</v>
      </c>
      <c r="AK367" s="115">
        <v>20000000</v>
      </c>
      <c r="AL367" s="20">
        <v>7</v>
      </c>
      <c r="AM367" s="20">
        <f t="shared" si="99"/>
        <v>650</v>
      </c>
      <c r="AN367" s="20">
        <f t="shared" si="100"/>
        <v>13000000000</v>
      </c>
      <c r="AO367" s="20" t="s">
        <v>4943</v>
      </c>
    </row>
    <row r="368" spans="18:46">
      <c r="R368" s="97" t="s">
        <v>5111</v>
      </c>
      <c r="S368" s="93">
        <v>10000000</v>
      </c>
      <c r="U368" s="19" t="s">
        <v>5596</v>
      </c>
      <c r="V368" s="19">
        <v>542</v>
      </c>
      <c r="W368" s="115">
        <v>2263.4906230000001</v>
      </c>
      <c r="X368" s="115">
        <f t="shared" si="96"/>
        <v>1226811.9176660001</v>
      </c>
      <c r="Y368" s="261" t="s">
        <v>5103</v>
      </c>
      <c r="AC368" t="s">
        <v>25</v>
      </c>
      <c r="AI368" s="20">
        <v>77</v>
      </c>
      <c r="AJ368" s="20" t="s">
        <v>4953</v>
      </c>
      <c r="AK368" s="115">
        <v>50000</v>
      </c>
      <c r="AL368" s="20">
        <v>0</v>
      </c>
      <c r="AM368" s="20">
        <f t="shared" si="99"/>
        <v>643</v>
      </c>
      <c r="AN368" s="20">
        <f t="shared" si="100"/>
        <v>32150000</v>
      </c>
      <c r="AO368" s="20"/>
    </row>
    <row r="369" spans="18:46">
      <c r="R369" s="97" t="s">
        <v>5115</v>
      </c>
      <c r="S369" s="93">
        <v>-400000</v>
      </c>
      <c r="U369" s="19" t="s">
        <v>5597</v>
      </c>
      <c r="V369" s="19">
        <v>16629</v>
      </c>
      <c r="W369" s="115">
        <v>2367.7887540000002</v>
      </c>
      <c r="X369" s="115">
        <f t="shared" si="96"/>
        <v>39373959.190266006</v>
      </c>
      <c r="Y369" s="261" t="s">
        <v>5103</v>
      </c>
      <c r="AI369" s="147">
        <v>78</v>
      </c>
      <c r="AJ369" s="147" t="s">
        <v>4953</v>
      </c>
      <c r="AK369" s="186">
        <v>50000</v>
      </c>
      <c r="AL369" s="147">
        <v>7</v>
      </c>
      <c r="AM369" s="147">
        <f t="shared" si="99"/>
        <v>643</v>
      </c>
      <c r="AN369" s="147">
        <f t="shared" si="100"/>
        <v>32150000</v>
      </c>
      <c r="AO369" s="147"/>
    </row>
    <row r="370" spans="18:46">
      <c r="R370" s="97" t="s">
        <v>5117</v>
      </c>
      <c r="S370" s="93">
        <v>5649</v>
      </c>
      <c r="U370" s="19" t="s">
        <v>5602</v>
      </c>
      <c r="V370" s="19">
        <v>11765</v>
      </c>
      <c r="W370" s="115">
        <v>2354.7375320000001</v>
      </c>
      <c r="X370" s="115">
        <f t="shared" si="96"/>
        <v>27703487.063980002</v>
      </c>
      <c r="Y370" s="261" t="s">
        <v>5103</v>
      </c>
      <c r="AI370" s="20">
        <v>79</v>
      </c>
      <c r="AJ370" s="20" t="s">
        <v>4959</v>
      </c>
      <c r="AK370" s="115">
        <v>2480000</v>
      </c>
      <c r="AL370" s="20">
        <v>0</v>
      </c>
      <c r="AM370" s="20">
        <f t="shared" si="99"/>
        <v>636</v>
      </c>
      <c r="AN370" s="20">
        <f t="shared" si="100"/>
        <v>1577280000</v>
      </c>
      <c r="AO370" s="20"/>
    </row>
    <row r="371" spans="18:46">
      <c r="R371" s="97" t="s">
        <v>5118</v>
      </c>
      <c r="S371" s="93">
        <v>460000</v>
      </c>
      <c r="U371" s="19" t="s">
        <v>5603</v>
      </c>
      <c r="V371" s="19">
        <v>3672</v>
      </c>
      <c r="W371" s="115">
        <v>2379.873826</v>
      </c>
      <c r="X371" s="115">
        <f t="shared" si="96"/>
        <v>8738896.6890719999</v>
      </c>
      <c r="Y371" s="261" t="s">
        <v>5103</v>
      </c>
      <c r="AA371" t="s">
        <v>25</v>
      </c>
      <c r="AI371" s="147">
        <v>80</v>
      </c>
      <c r="AJ371" s="147" t="s">
        <v>4959</v>
      </c>
      <c r="AK371" s="186">
        <v>2480000</v>
      </c>
      <c r="AL371" s="147">
        <v>12</v>
      </c>
      <c r="AM371" s="147">
        <f t="shared" si="99"/>
        <v>636</v>
      </c>
      <c r="AN371" s="147">
        <f t="shared" si="100"/>
        <v>1577280000</v>
      </c>
      <c r="AO371" s="147"/>
    </row>
    <row r="372" spans="18:46">
      <c r="R372" s="97" t="s">
        <v>5118</v>
      </c>
      <c r="S372" s="93">
        <v>1300000</v>
      </c>
      <c r="U372" s="19" t="s">
        <v>4182</v>
      </c>
      <c r="V372" s="19">
        <v>140</v>
      </c>
      <c r="W372" s="115">
        <v>2487.154767</v>
      </c>
      <c r="X372" s="115">
        <f t="shared" si="96"/>
        <v>348201.66738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975</v>
      </c>
      <c r="S373" s="93">
        <v>7300000</v>
      </c>
      <c r="U373" s="19" t="s">
        <v>5605</v>
      </c>
      <c r="V373" s="19">
        <v>1616</v>
      </c>
      <c r="W373" s="115">
        <v>2573.0760479999999</v>
      </c>
      <c r="X373" s="115">
        <f t="shared" si="96"/>
        <v>4158090.8935679998</v>
      </c>
      <c r="Y373" s="261" t="s">
        <v>5103</v>
      </c>
      <c r="AI373" s="20">
        <v>82</v>
      </c>
      <c r="AJ373" s="20" t="s">
        <v>4976</v>
      </c>
      <c r="AK373" s="115">
        <v>400000</v>
      </c>
      <c r="AL373" s="20">
        <v>3</v>
      </c>
      <c r="AM373" s="20">
        <f t="shared" si="99"/>
        <v>620</v>
      </c>
      <c r="AN373" s="20">
        <f t="shared" si="100"/>
        <v>248000000</v>
      </c>
      <c r="AO373" s="20"/>
    </row>
    <row r="374" spans="18:46">
      <c r="R374" s="97" t="s">
        <v>4253</v>
      </c>
      <c r="S374" s="93">
        <v>21203</v>
      </c>
      <c r="U374" s="187" t="s">
        <v>5606</v>
      </c>
      <c r="V374" s="187">
        <v>5682</v>
      </c>
      <c r="W374" s="186">
        <v>2639.970566</v>
      </c>
      <c r="X374" s="186">
        <f t="shared" si="96"/>
        <v>15000312.756012</v>
      </c>
      <c r="Y374" s="260" t="s">
        <v>5828</v>
      </c>
      <c r="AI374" s="147">
        <v>83</v>
      </c>
      <c r="AJ374" s="147" t="s">
        <v>4983</v>
      </c>
      <c r="AK374" s="186">
        <v>40000</v>
      </c>
      <c r="AL374" s="147">
        <v>0</v>
      </c>
      <c r="AM374" s="147">
        <f t="shared" si="99"/>
        <v>617</v>
      </c>
      <c r="AN374" s="147">
        <f t="shared" si="100"/>
        <v>24680000</v>
      </c>
      <c r="AO374" s="147"/>
      <c r="AT374" t="s">
        <v>25</v>
      </c>
    </row>
    <row r="375" spans="18:46" ht="30">
      <c r="R375" s="97" t="s">
        <v>5116</v>
      </c>
      <c r="S375" s="93">
        <v>34550</v>
      </c>
      <c r="U375" s="187" t="s">
        <v>5606</v>
      </c>
      <c r="V375" s="187">
        <v>-122</v>
      </c>
      <c r="W375" s="186">
        <v>2639.970566</v>
      </c>
      <c r="X375" s="186">
        <f t="shared" si="96"/>
        <v>-322076.40905199997</v>
      </c>
      <c r="Y375" s="260" t="s">
        <v>5864</v>
      </c>
      <c r="Z375" t="s">
        <v>25</v>
      </c>
      <c r="AI375" s="20">
        <v>84</v>
      </c>
      <c r="AJ375" s="20" t="s">
        <v>4983</v>
      </c>
      <c r="AK375" s="115">
        <v>40000</v>
      </c>
      <c r="AL375" s="20">
        <v>5</v>
      </c>
      <c r="AM375" s="20">
        <f t="shared" si="99"/>
        <v>617</v>
      </c>
      <c r="AN375" s="20">
        <f t="shared" si="100"/>
        <v>24680000</v>
      </c>
      <c r="AO375" s="20"/>
    </row>
    <row r="376" spans="18:46">
      <c r="R376" s="97" t="s">
        <v>5153</v>
      </c>
      <c r="S376" s="93">
        <v>-2134406</v>
      </c>
      <c r="U376" s="19" t="s">
        <v>5606</v>
      </c>
      <c r="V376" s="19">
        <v>2272</v>
      </c>
      <c r="W376" s="115">
        <v>2639.970566</v>
      </c>
      <c r="X376" s="115">
        <f t="shared" si="96"/>
        <v>5998013.1259519998</v>
      </c>
      <c r="Y376" s="261" t="s">
        <v>5615</v>
      </c>
      <c r="AI376" s="20">
        <v>85</v>
      </c>
      <c r="AJ376" s="20" t="s">
        <v>4991</v>
      </c>
      <c r="AK376" s="115">
        <v>200000</v>
      </c>
      <c r="AL376" s="20">
        <v>1</v>
      </c>
      <c r="AM376" s="20">
        <f t="shared" si="99"/>
        <v>612</v>
      </c>
      <c r="AN376" s="20">
        <f t="shared" si="100"/>
        <v>122400000</v>
      </c>
      <c r="AO376" s="20"/>
    </row>
    <row r="377" spans="18:46" ht="30">
      <c r="R377" s="97" t="s">
        <v>5156</v>
      </c>
      <c r="S377" s="93">
        <v>-618906</v>
      </c>
      <c r="U377" s="19" t="s">
        <v>5606</v>
      </c>
      <c r="V377" s="19">
        <v>4434</v>
      </c>
      <c r="W377" s="115">
        <v>2639.970566</v>
      </c>
      <c r="X377" s="115">
        <f t="shared" si="96"/>
        <v>11705629.489644</v>
      </c>
      <c r="Y377" s="261" t="s">
        <v>5616</v>
      </c>
      <c r="AB377" t="s">
        <v>25</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5198</v>
      </c>
      <c r="S378" s="93">
        <v>-54615</v>
      </c>
      <c r="U378" s="19" t="s">
        <v>5606</v>
      </c>
      <c r="V378" s="19">
        <v>2349</v>
      </c>
      <c r="W378" s="115">
        <v>2639.970566</v>
      </c>
      <c r="X378" s="115">
        <f t="shared" si="96"/>
        <v>6201290.859534</v>
      </c>
      <c r="Y378" s="261" t="s">
        <v>5617</v>
      </c>
      <c r="AI378" s="20">
        <v>87</v>
      </c>
      <c r="AJ378" s="20" t="s">
        <v>4997</v>
      </c>
      <c r="AK378" s="115">
        <v>500000</v>
      </c>
      <c r="AL378" s="20">
        <v>3</v>
      </c>
      <c r="AM378" s="20">
        <f t="shared" si="101"/>
        <v>609</v>
      </c>
      <c r="AN378" s="20">
        <f t="shared" si="102"/>
        <v>304500000</v>
      </c>
      <c r="AO378" s="20"/>
    </row>
    <row r="379" spans="18:46" ht="30">
      <c r="R379" s="97" t="s">
        <v>5243</v>
      </c>
      <c r="S379" s="93">
        <v>18000000</v>
      </c>
      <c r="U379" s="19" t="s">
        <v>5606</v>
      </c>
      <c r="V379" s="19">
        <v>-568</v>
      </c>
      <c r="W379" s="115">
        <v>2639.970566</v>
      </c>
      <c r="X379" s="115">
        <f t="shared" si="96"/>
        <v>-1499503.2814879999</v>
      </c>
      <c r="Y379" s="261" t="s">
        <v>5618</v>
      </c>
      <c r="Z379" t="s">
        <v>25</v>
      </c>
      <c r="AI379" s="20">
        <v>88</v>
      </c>
      <c r="AJ379" s="20" t="s">
        <v>4988</v>
      </c>
      <c r="AK379" s="115">
        <v>250000</v>
      </c>
      <c r="AL379" s="20">
        <v>0</v>
      </c>
      <c r="AM379" s="20">
        <f t="shared" si="101"/>
        <v>606</v>
      </c>
      <c r="AN379" s="20">
        <f t="shared" si="102"/>
        <v>151500000</v>
      </c>
      <c r="AO379" s="20"/>
    </row>
    <row r="380" spans="18:46" ht="30">
      <c r="R380" s="97" t="s">
        <v>5250</v>
      </c>
      <c r="S380" s="93">
        <v>20000000</v>
      </c>
      <c r="U380" s="19" t="s">
        <v>5606</v>
      </c>
      <c r="V380" s="19">
        <v>568</v>
      </c>
      <c r="W380" s="115">
        <v>2639.970566</v>
      </c>
      <c r="X380" s="115">
        <f t="shared" si="96"/>
        <v>1499503.2814879999</v>
      </c>
      <c r="Y380" s="261" t="s">
        <v>5618</v>
      </c>
      <c r="AI380" s="240">
        <v>89</v>
      </c>
      <c r="AJ380" s="240" t="s">
        <v>4988</v>
      </c>
      <c r="AK380" s="231">
        <v>245000</v>
      </c>
      <c r="AL380" s="240">
        <v>16</v>
      </c>
      <c r="AM380" s="240">
        <f t="shared" si="101"/>
        <v>606</v>
      </c>
      <c r="AN380" s="240">
        <f t="shared" si="102"/>
        <v>148470000</v>
      </c>
      <c r="AO380" s="240"/>
    </row>
    <row r="381" spans="18:46">
      <c r="R381" s="97" t="s">
        <v>5325</v>
      </c>
      <c r="S381" s="93">
        <v>27694196</v>
      </c>
      <c r="U381" s="19" t="s">
        <v>5609</v>
      </c>
      <c r="V381" s="19">
        <v>4589</v>
      </c>
      <c r="W381" s="115">
        <v>2639.970566</v>
      </c>
      <c r="X381" s="115">
        <f t="shared" si="96"/>
        <v>12114824.927374</v>
      </c>
      <c r="Y381" s="261" t="s">
        <v>5619</v>
      </c>
      <c r="Z381" t="s">
        <v>25</v>
      </c>
      <c r="AI381" s="20">
        <v>90</v>
      </c>
      <c r="AJ381" s="20" t="s">
        <v>5022</v>
      </c>
      <c r="AK381" s="115">
        <v>312598</v>
      </c>
      <c r="AL381" s="20">
        <v>0</v>
      </c>
      <c r="AM381" s="20">
        <f t="shared" si="101"/>
        <v>590</v>
      </c>
      <c r="AN381" s="20">
        <f t="shared" si="102"/>
        <v>184432820</v>
      </c>
      <c r="AO381" s="20"/>
      <c r="AQ381" t="s">
        <v>25</v>
      </c>
    </row>
    <row r="382" spans="18:46">
      <c r="R382" s="97" t="s">
        <v>5326</v>
      </c>
      <c r="S382" s="93">
        <v>7211722</v>
      </c>
      <c r="U382" s="19" t="s">
        <v>5609</v>
      </c>
      <c r="V382" s="19">
        <v>41959</v>
      </c>
      <c r="W382" s="115">
        <v>2639.970566</v>
      </c>
      <c r="X382" s="115">
        <f t="shared" ref="X382:X512" si="103">V382*W382</f>
        <v>110770524.97879399</v>
      </c>
      <c r="Y382" s="261" t="s">
        <v>5103</v>
      </c>
      <c r="AI382" s="20">
        <v>91</v>
      </c>
      <c r="AJ382" s="20" t="s">
        <v>5022</v>
      </c>
      <c r="AK382" s="115">
        <v>780000</v>
      </c>
      <c r="AL382" s="20">
        <v>0</v>
      </c>
      <c r="AM382" s="20">
        <f t="shared" si="101"/>
        <v>590</v>
      </c>
      <c r="AN382" s="20">
        <f t="shared" si="102"/>
        <v>460200000</v>
      </c>
      <c r="AO382" s="20"/>
    </row>
    <row r="383" spans="18:46">
      <c r="R383" s="97" t="s">
        <v>5330</v>
      </c>
      <c r="S383" s="93">
        <v>8481864</v>
      </c>
      <c r="U383" s="19" t="s">
        <v>5621</v>
      </c>
      <c r="V383" s="19">
        <v>2486</v>
      </c>
      <c r="W383" s="115">
        <v>2688.7156100000002</v>
      </c>
      <c r="X383" s="115">
        <f t="shared" si="103"/>
        <v>6684147.0064600008</v>
      </c>
      <c r="Y383" s="261" t="s">
        <v>5103</v>
      </c>
      <c r="AI383" s="192">
        <v>92</v>
      </c>
      <c r="AJ383" s="192" t="s">
        <v>5022</v>
      </c>
      <c r="AK383" s="193">
        <v>-300000</v>
      </c>
      <c r="AL383" s="192">
        <v>1</v>
      </c>
      <c r="AM383" s="192">
        <f t="shared" si="101"/>
        <v>590</v>
      </c>
      <c r="AN383" s="192">
        <f t="shared" si="102"/>
        <v>-177000000</v>
      </c>
      <c r="AO383" s="192"/>
    </row>
    <row r="384" spans="18:46">
      <c r="R384" s="97" t="s">
        <v>5334</v>
      </c>
      <c r="S384" s="93">
        <v>1558697</v>
      </c>
      <c r="U384" s="19" t="s">
        <v>5624</v>
      </c>
      <c r="V384" s="19">
        <v>652</v>
      </c>
      <c r="W384" s="115">
        <v>2801.4344030000002</v>
      </c>
      <c r="X384" s="115">
        <f t="shared" si="103"/>
        <v>1826535.2307560001</v>
      </c>
      <c r="Y384" s="261" t="s">
        <v>5103</v>
      </c>
      <c r="AI384" s="20">
        <v>93</v>
      </c>
      <c r="AJ384" s="20" t="s">
        <v>4989</v>
      </c>
      <c r="AK384" s="115">
        <v>300000</v>
      </c>
      <c r="AL384" s="20">
        <v>0</v>
      </c>
      <c r="AM384" s="20">
        <f t="shared" si="101"/>
        <v>589</v>
      </c>
      <c r="AN384" s="20">
        <f t="shared" si="102"/>
        <v>176700000</v>
      </c>
      <c r="AO384" s="20"/>
    </row>
    <row r="385" spans="16:46">
      <c r="R385" s="97" t="s">
        <v>5335</v>
      </c>
      <c r="S385" s="93">
        <v>9042009</v>
      </c>
      <c r="T385" t="s">
        <v>25</v>
      </c>
      <c r="U385" s="187" t="s">
        <v>5624</v>
      </c>
      <c r="V385" s="187">
        <v>-536</v>
      </c>
      <c r="W385" s="186">
        <v>2801.4344030000002</v>
      </c>
      <c r="X385" s="186">
        <f t="shared" si="103"/>
        <v>-1501568.8400080001</v>
      </c>
      <c r="Y385" s="260" t="s">
        <v>5636</v>
      </c>
      <c r="AI385" s="20">
        <v>94</v>
      </c>
      <c r="AJ385" s="20" t="s">
        <v>4989</v>
      </c>
      <c r="AK385" s="115">
        <v>8660000</v>
      </c>
      <c r="AL385" s="20">
        <v>8</v>
      </c>
      <c r="AM385" s="20">
        <f t="shared" si="101"/>
        <v>589</v>
      </c>
      <c r="AN385" s="20">
        <f t="shared" si="102"/>
        <v>5100740000</v>
      </c>
      <c r="AO385" s="20"/>
    </row>
    <row r="386" spans="16:46">
      <c r="R386" s="97" t="s">
        <v>5339</v>
      </c>
      <c r="S386" s="93">
        <v>94969</v>
      </c>
      <c r="U386" s="19" t="s">
        <v>5628</v>
      </c>
      <c r="V386" s="19">
        <v>1351</v>
      </c>
      <c r="W386" s="115">
        <v>2647.94</v>
      </c>
      <c r="X386" s="115">
        <f t="shared" si="103"/>
        <v>3577366.94</v>
      </c>
      <c r="Y386" s="261" t="s">
        <v>5103</v>
      </c>
      <c r="AI386" s="147">
        <v>95</v>
      </c>
      <c r="AJ386" s="147" t="s">
        <v>5039</v>
      </c>
      <c r="AK386" s="186">
        <v>200000</v>
      </c>
      <c r="AL386" s="147">
        <v>3</v>
      </c>
      <c r="AM386" s="147">
        <f t="shared" si="101"/>
        <v>581</v>
      </c>
      <c r="AN386" s="147">
        <f t="shared" si="102"/>
        <v>116200000</v>
      </c>
      <c r="AO386" s="147"/>
      <c r="AR386" t="s">
        <v>25</v>
      </c>
    </row>
    <row r="387" spans="16:46">
      <c r="R387" s="97" t="s">
        <v>5339</v>
      </c>
      <c r="S387" s="93">
        <v>40000000</v>
      </c>
      <c r="U387" s="19" t="s">
        <v>5630</v>
      </c>
      <c r="V387" s="19">
        <v>8402</v>
      </c>
      <c r="W387" s="115">
        <v>2527.8539839999999</v>
      </c>
      <c r="X387" s="115">
        <f t="shared" si="103"/>
        <v>21239029.173567999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5340</v>
      </c>
      <c r="S388" s="93">
        <v>2806274</v>
      </c>
      <c r="U388" s="19" t="s">
        <v>5633</v>
      </c>
      <c r="V388" s="19">
        <v>98141</v>
      </c>
      <c r="W388" s="115">
        <v>2475.593813</v>
      </c>
      <c r="X388" s="115">
        <f t="shared" si="103"/>
        <v>242957252.40163299</v>
      </c>
      <c r="Y388" s="261" t="s">
        <v>5103</v>
      </c>
      <c r="AI388" s="20">
        <v>97</v>
      </c>
      <c r="AJ388" s="20" t="s">
        <v>5052</v>
      </c>
      <c r="AK388" s="115">
        <v>14340000</v>
      </c>
      <c r="AL388" s="20">
        <v>7</v>
      </c>
      <c r="AM388" s="20">
        <f t="shared" si="101"/>
        <v>577</v>
      </c>
      <c r="AN388" s="20">
        <f t="shared" si="102"/>
        <v>8274180000</v>
      </c>
      <c r="AO388" s="20"/>
      <c r="AT388" t="s">
        <v>25</v>
      </c>
    </row>
    <row r="389" spans="16:46">
      <c r="R389" s="97" t="s">
        <v>5348</v>
      </c>
      <c r="S389" s="93">
        <v>1331702</v>
      </c>
      <c r="U389" s="19" t="s">
        <v>5637</v>
      </c>
      <c r="V389" s="19">
        <v>2910</v>
      </c>
      <c r="W389" s="115">
        <v>2528.240988</v>
      </c>
      <c r="X389" s="115">
        <f t="shared" si="103"/>
        <v>7357181.2750800001</v>
      </c>
      <c r="Y389" s="261" t="s">
        <v>5103</v>
      </c>
      <c r="AA389" t="s">
        <v>25</v>
      </c>
      <c r="AI389" s="20">
        <v>98</v>
      </c>
      <c r="AJ389" s="20" t="s">
        <v>5058</v>
      </c>
      <c r="AK389" s="115">
        <v>10000000</v>
      </c>
      <c r="AL389" s="20">
        <v>6</v>
      </c>
      <c r="AM389" s="20">
        <f t="shared" si="101"/>
        <v>570</v>
      </c>
      <c r="AN389" s="20">
        <f t="shared" si="102"/>
        <v>5700000000</v>
      </c>
      <c r="AO389" s="20" t="s">
        <v>4673</v>
      </c>
    </row>
    <row r="390" spans="16:46">
      <c r="P390" t="s">
        <v>25</v>
      </c>
      <c r="R390" s="97" t="s">
        <v>5382</v>
      </c>
      <c r="S390" s="93">
        <v>851238</v>
      </c>
      <c r="U390" s="19" t="s">
        <v>5639</v>
      </c>
      <c r="V390" s="19">
        <v>5652</v>
      </c>
      <c r="W390" s="115">
        <v>2645.3312000000001</v>
      </c>
      <c r="X390" s="115">
        <f t="shared" si="103"/>
        <v>14951411.942400001</v>
      </c>
      <c r="Y390" s="261" t="s">
        <v>5103</v>
      </c>
      <c r="AI390" s="20">
        <v>99</v>
      </c>
      <c r="AJ390" s="20" t="s">
        <v>5063</v>
      </c>
      <c r="AK390" s="115">
        <v>4033949</v>
      </c>
      <c r="AL390" s="20">
        <v>2</v>
      </c>
      <c r="AM390" s="20">
        <f t="shared" si="101"/>
        <v>564</v>
      </c>
      <c r="AN390" s="20">
        <f t="shared" si="102"/>
        <v>2275147236</v>
      </c>
      <c r="AO390" s="20" t="s">
        <v>5065</v>
      </c>
    </row>
    <row r="391" spans="16:46">
      <c r="R391" s="97" t="s">
        <v>5426</v>
      </c>
      <c r="S391" s="93">
        <v>652592</v>
      </c>
      <c r="U391" s="19" t="s">
        <v>5643</v>
      </c>
      <c r="V391" s="19">
        <v>18764</v>
      </c>
      <c r="W391" s="115">
        <v>2554.2639829999998</v>
      </c>
      <c r="X391" s="115">
        <f t="shared" si="103"/>
        <v>47928209.377011999</v>
      </c>
      <c r="Y391" s="261" t="s">
        <v>5103</v>
      </c>
      <c r="AI391" s="147">
        <v>100</v>
      </c>
      <c r="AJ391" s="147" t="s">
        <v>5069</v>
      </c>
      <c r="AK391" s="186">
        <v>11500000</v>
      </c>
      <c r="AL391" s="147">
        <v>2</v>
      </c>
      <c r="AM391" s="147">
        <f t="shared" si="101"/>
        <v>562</v>
      </c>
      <c r="AN391" s="147">
        <f t="shared" si="102"/>
        <v>6463000000</v>
      </c>
      <c r="AO391" s="147" t="s">
        <v>5071</v>
      </c>
    </row>
    <row r="392" spans="16:46">
      <c r="R392" s="97" t="s">
        <v>5427</v>
      </c>
      <c r="S392" s="93">
        <v>554139</v>
      </c>
      <c r="U392" s="19" t="s">
        <v>5645</v>
      </c>
      <c r="V392" s="19">
        <v>930</v>
      </c>
      <c r="W392" s="115">
        <v>2453.3287089999999</v>
      </c>
      <c r="X392" s="115">
        <f t="shared" si="103"/>
        <v>2281595.69937</v>
      </c>
      <c r="Y392" s="261" t="s">
        <v>5103</v>
      </c>
      <c r="AB392" t="s">
        <v>25</v>
      </c>
      <c r="AI392" s="147">
        <v>101</v>
      </c>
      <c r="AJ392" s="147" t="s">
        <v>5073</v>
      </c>
      <c r="AK392" s="186">
        <v>250000</v>
      </c>
      <c r="AL392" s="147">
        <v>3</v>
      </c>
      <c r="AM392" s="147">
        <f t="shared" si="101"/>
        <v>560</v>
      </c>
      <c r="AN392" s="147">
        <f t="shared" si="102"/>
        <v>140000000</v>
      </c>
      <c r="AO392" s="147"/>
    </row>
    <row r="393" spans="16:46">
      <c r="R393" s="97" t="s">
        <v>5428</v>
      </c>
      <c r="S393" s="93">
        <v>70373089</v>
      </c>
      <c r="U393" s="19" t="s">
        <v>5647</v>
      </c>
      <c r="V393" s="19">
        <v>1167</v>
      </c>
      <c r="W393" s="115">
        <v>2540.6307069999998</v>
      </c>
      <c r="X393" s="115">
        <f t="shared" si="103"/>
        <v>2964916.035069</v>
      </c>
      <c r="Y393" s="261" t="s">
        <v>5103</v>
      </c>
      <c r="AI393" s="147">
        <v>102</v>
      </c>
      <c r="AJ393" s="147" t="s">
        <v>5098</v>
      </c>
      <c r="AK393" s="186">
        <v>6000000</v>
      </c>
      <c r="AL393" s="147">
        <v>1</v>
      </c>
      <c r="AM393" s="147">
        <f t="shared" si="101"/>
        <v>557</v>
      </c>
      <c r="AN393" s="147">
        <f t="shared" si="102"/>
        <v>3342000000</v>
      </c>
      <c r="AO393" s="147" t="s">
        <v>5071</v>
      </c>
      <c r="AS393" t="s">
        <v>25</v>
      </c>
    </row>
    <row r="394" spans="16:46">
      <c r="R394" s="97" t="s">
        <v>5429</v>
      </c>
      <c r="S394" s="93">
        <v>1219655</v>
      </c>
      <c r="U394" s="19" t="s">
        <v>5648</v>
      </c>
      <c r="V394" s="19">
        <v>2538</v>
      </c>
      <c r="W394" s="115">
        <v>2545.5277489999999</v>
      </c>
      <c r="X394" s="115">
        <f t="shared" si="103"/>
        <v>6460549.4269619994</v>
      </c>
      <c r="Y394" s="261" t="s">
        <v>5103</v>
      </c>
      <c r="AA394" t="s">
        <v>25</v>
      </c>
      <c r="AB394" t="s">
        <v>25</v>
      </c>
      <c r="AI394" s="147">
        <v>103</v>
      </c>
      <c r="AJ394" s="147" t="s">
        <v>5099</v>
      </c>
      <c r="AK394" s="186">
        <v>1500000</v>
      </c>
      <c r="AL394" s="147">
        <v>6</v>
      </c>
      <c r="AM394" s="147">
        <f t="shared" si="101"/>
        <v>556</v>
      </c>
      <c r="AN394" s="147">
        <f t="shared" si="102"/>
        <v>834000000</v>
      </c>
      <c r="AO394" s="147" t="s">
        <v>5071</v>
      </c>
    </row>
    <row r="395" spans="16:46">
      <c r="R395" s="97" t="s">
        <v>5430</v>
      </c>
      <c r="S395" s="93">
        <v>15350146</v>
      </c>
      <c r="U395" s="19" t="s">
        <v>5650</v>
      </c>
      <c r="V395" s="19">
        <v>2106</v>
      </c>
      <c r="W395" s="115">
        <v>2474.9857059999999</v>
      </c>
      <c r="X395" s="115">
        <f t="shared" si="103"/>
        <v>5212319.8968359996</v>
      </c>
      <c r="Y395" s="261" t="s">
        <v>5103</v>
      </c>
      <c r="AB395" t="s">
        <v>25</v>
      </c>
      <c r="AI395" s="20">
        <v>104</v>
      </c>
      <c r="AJ395" s="20" t="s">
        <v>958</v>
      </c>
      <c r="AK395" s="115">
        <v>-3960043</v>
      </c>
      <c r="AL395" s="20">
        <v>2</v>
      </c>
      <c r="AM395" s="20">
        <f t="shared" si="101"/>
        <v>550</v>
      </c>
      <c r="AN395" s="20">
        <f t="shared" si="102"/>
        <v>-2178023650</v>
      </c>
      <c r="AO395" s="20"/>
    </row>
    <row r="396" spans="16:46">
      <c r="R396" s="97" t="s">
        <v>5434</v>
      </c>
      <c r="S396" s="93">
        <v>121018</v>
      </c>
      <c r="U396" s="19" t="s">
        <v>5653</v>
      </c>
      <c r="V396" s="19">
        <v>1801</v>
      </c>
      <c r="W396" s="115">
        <v>2512.2134809999998</v>
      </c>
      <c r="X396" s="115">
        <f t="shared" si="103"/>
        <v>4524496.4792809999</v>
      </c>
      <c r="Y396" s="261" t="s">
        <v>5103</v>
      </c>
      <c r="AI396" s="20">
        <v>105</v>
      </c>
      <c r="AJ396" s="20" t="s">
        <v>5117</v>
      </c>
      <c r="AK396" s="115">
        <v>230000</v>
      </c>
      <c r="AL396" s="20">
        <v>0</v>
      </c>
      <c r="AM396" s="20">
        <f t="shared" si="101"/>
        <v>548</v>
      </c>
      <c r="AN396" s="20">
        <f t="shared" si="102"/>
        <v>126040000</v>
      </c>
      <c r="AO396" s="20"/>
    </row>
    <row r="397" spans="16:46">
      <c r="R397" s="97" t="s">
        <v>5446</v>
      </c>
      <c r="S397" s="93">
        <v>1024993</v>
      </c>
      <c r="U397" s="19" t="s">
        <v>5655</v>
      </c>
      <c r="V397" s="19">
        <v>9184</v>
      </c>
      <c r="W397" s="115">
        <v>2489.76919</v>
      </c>
      <c r="X397" s="115">
        <f t="shared" si="103"/>
        <v>22866040.240959998</v>
      </c>
      <c r="Y397" s="261" t="s">
        <v>5103</v>
      </c>
      <c r="AI397" s="147">
        <v>106</v>
      </c>
      <c r="AJ397" s="147" t="s">
        <v>5117</v>
      </c>
      <c r="AK397" s="186">
        <v>230000</v>
      </c>
      <c r="AL397" s="147">
        <v>1</v>
      </c>
      <c r="AM397" s="147">
        <f t="shared" si="101"/>
        <v>548</v>
      </c>
      <c r="AN397" s="147">
        <f t="shared" si="102"/>
        <v>126040000</v>
      </c>
      <c r="AO397" s="147"/>
    </row>
    <row r="398" spans="16:46" ht="21" customHeight="1">
      <c r="R398" s="97" t="s">
        <v>5447</v>
      </c>
      <c r="S398" s="93">
        <v>1948077</v>
      </c>
      <c r="U398" s="19" t="s">
        <v>5657</v>
      </c>
      <c r="V398" s="19">
        <v>6259</v>
      </c>
      <c r="W398" s="115">
        <v>2453.954988</v>
      </c>
      <c r="X398" s="115">
        <f t="shared" si="103"/>
        <v>15359304.269892</v>
      </c>
      <c r="Y398" s="261" t="s">
        <v>5103</v>
      </c>
      <c r="Z398" t="s">
        <v>25</v>
      </c>
      <c r="AI398" s="147">
        <v>107</v>
      </c>
      <c r="AJ398" s="147" t="s">
        <v>5118</v>
      </c>
      <c r="AK398" s="186">
        <v>500000</v>
      </c>
      <c r="AL398" s="147">
        <v>1</v>
      </c>
      <c r="AM398" s="147">
        <f t="shared" si="101"/>
        <v>547</v>
      </c>
      <c r="AN398" s="147">
        <f t="shared" si="102"/>
        <v>273500000</v>
      </c>
      <c r="AO398" s="147"/>
    </row>
    <row r="399" spans="16:46">
      <c r="R399" s="97" t="s">
        <v>5448</v>
      </c>
      <c r="S399" s="93">
        <v>50000120</v>
      </c>
      <c r="U399" s="19" t="s">
        <v>5659</v>
      </c>
      <c r="V399" s="19">
        <v>1223</v>
      </c>
      <c r="W399" s="115">
        <v>2345.4686710000001</v>
      </c>
      <c r="X399" s="115">
        <f t="shared" si="103"/>
        <v>2868508.1846330003</v>
      </c>
      <c r="Y399" s="261" t="s">
        <v>5103</v>
      </c>
      <c r="AI399" s="20">
        <v>108</v>
      </c>
      <c r="AJ399" s="20" t="s">
        <v>5121</v>
      </c>
      <c r="AK399" s="115">
        <v>-880000</v>
      </c>
      <c r="AL399" s="20">
        <v>4</v>
      </c>
      <c r="AM399" s="20">
        <f t="shared" si="101"/>
        <v>546</v>
      </c>
      <c r="AN399" s="20">
        <f t="shared" si="102"/>
        <v>-480480000</v>
      </c>
      <c r="AO399" s="20"/>
    </row>
    <row r="400" spans="16:46" ht="18" customHeight="1">
      <c r="R400" s="97" t="s">
        <v>5471</v>
      </c>
      <c r="S400" s="93">
        <v>20000055</v>
      </c>
      <c r="U400" s="19" t="s">
        <v>5660</v>
      </c>
      <c r="V400" s="19">
        <v>7804</v>
      </c>
      <c r="W400" s="115">
        <v>2236.0831640000001</v>
      </c>
      <c r="X400" s="115">
        <f t="shared" si="103"/>
        <v>17450393.011856001</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5472</v>
      </c>
      <c r="S401" s="93">
        <v>5745697</v>
      </c>
      <c r="U401" s="19" t="s">
        <v>5661</v>
      </c>
      <c r="V401" s="19">
        <v>14589</v>
      </c>
      <c r="W401" s="115">
        <v>2151.5486500000002</v>
      </c>
      <c r="X401" s="115">
        <f t="shared" si="103"/>
        <v>31388943.254850004</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5473</v>
      </c>
      <c r="S402" s="93">
        <v>908158</v>
      </c>
      <c r="U402" s="19" t="s">
        <v>5662</v>
      </c>
      <c r="V402" s="19">
        <v>14741</v>
      </c>
      <c r="W402" s="115">
        <v>2097.0148140000001</v>
      </c>
      <c r="X402" s="115">
        <f t="shared" si="103"/>
        <v>30912095.373174001</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5474</v>
      </c>
      <c r="S403" s="93">
        <v>12642697</v>
      </c>
      <c r="U403" s="19" t="s">
        <v>5664</v>
      </c>
      <c r="V403" s="19">
        <v>10237</v>
      </c>
      <c r="W403" s="115">
        <v>1914.9092619999999</v>
      </c>
      <c r="X403" s="115">
        <f t="shared" si="103"/>
        <v>19602926.115093999</v>
      </c>
      <c r="Y403" s="261" t="s">
        <v>5103</v>
      </c>
      <c r="AA403" t="s">
        <v>25</v>
      </c>
      <c r="AI403" s="20">
        <v>112</v>
      </c>
      <c r="AJ403" s="20" t="s">
        <v>975</v>
      </c>
      <c r="AK403" s="115">
        <v>4300000</v>
      </c>
      <c r="AL403" s="20">
        <v>1</v>
      </c>
      <c r="AM403" s="20">
        <f t="shared" si="101"/>
        <v>541</v>
      </c>
      <c r="AN403" s="20">
        <f t="shared" si="102"/>
        <v>2326300000</v>
      </c>
      <c r="AO403" s="20"/>
    </row>
    <row r="404" spans="18:46">
      <c r="R404" s="97" t="s">
        <v>5475</v>
      </c>
      <c r="S404" s="93">
        <v>12297317.81435</v>
      </c>
      <c r="U404" s="19" t="s">
        <v>5668</v>
      </c>
      <c r="V404" s="19">
        <v>19211</v>
      </c>
      <c r="W404" s="115">
        <v>1793.6906100000001</v>
      </c>
      <c r="X404" s="115">
        <f t="shared" si="103"/>
        <v>34458590.308710001</v>
      </c>
      <c r="Y404" s="261" t="s">
        <v>5103</v>
      </c>
      <c r="AA404" t="s">
        <v>25</v>
      </c>
      <c r="AI404" s="20">
        <v>113</v>
      </c>
      <c r="AJ404" s="20" t="s">
        <v>5001</v>
      </c>
      <c r="AK404" s="115">
        <v>1600000</v>
      </c>
      <c r="AL404" s="20">
        <v>0</v>
      </c>
      <c r="AM404" s="20">
        <f t="shared" si="101"/>
        <v>540</v>
      </c>
      <c r="AN404" s="20">
        <f t="shared" si="102"/>
        <v>864000000</v>
      </c>
      <c r="AO404" s="20"/>
    </row>
    <row r="405" spans="18:46">
      <c r="R405" s="97" t="s">
        <v>5476</v>
      </c>
      <c r="S405" s="93">
        <v>8959643.8508579992</v>
      </c>
      <c r="U405" s="19" t="s">
        <v>5670</v>
      </c>
      <c r="V405" s="19">
        <v>11599</v>
      </c>
      <c r="W405" s="115">
        <v>1870.667144</v>
      </c>
      <c r="X405" s="115">
        <f t="shared" si="103"/>
        <v>21697868.203256</v>
      </c>
      <c r="Y405" s="261" t="s">
        <v>5103</v>
      </c>
      <c r="Z405" t="s">
        <v>25</v>
      </c>
      <c r="AI405" s="20">
        <v>114</v>
      </c>
      <c r="AJ405" s="20" t="s">
        <v>4253</v>
      </c>
      <c r="AK405" s="115">
        <v>-10000000</v>
      </c>
      <c r="AL405" s="20">
        <v>1</v>
      </c>
      <c r="AM405" s="20">
        <f t="shared" si="101"/>
        <v>540</v>
      </c>
      <c r="AN405" s="20">
        <f t="shared" si="102"/>
        <v>-5400000000</v>
      </c>
      <c r="AO405" s="20" t="s">
        <v>5131</v>
      </c>
    </row>
    <row r="406" spans="18:46">
      <c r="R406" s="97" t="s">
        <v>5491</v>
      </c>
      <c r="S406" s="93">
        <v>15154095.839328</v>
      </c>
      <c r="T406" t="s">
        <v>25</v>
      </c>
      <c r="U406" s="19" t="s">
        <v>5672</v>
      </c>
      <c r="V406" s="19">
        <v>14098</v>
      </c>
      <c r="W406" s="115">
        <v>1797.423695</v>
      </c>
      <c r="X406" s="115">
        <f t="shared" si="103"/>
        <v>25340079.252110001</v>
      </c>
      <c r="Y406" s="261" t="s">
        <v>5103</v>
      </c>
      <c r="AI406" s="20">
        <v>115</v>
      </c>
      <c r="AJ406" s="20" t="s">
        <v>5130</v>
      </c>
      <c r="AK406" s="115">
        <v>571000</v>
      </c>
      <c r="AL406" s="20">
        <v>4</v>
      </c>
      <c r="AM406" s="20">
        <f t="shared" si="101"/>
        <v>539</v>
      </c>
      <c r="AN406" s="20">
        <f t="shared" si="102"/>
        <v>307769000</v>
      </c>
      <c r="AO406" s="20"/>
    </row>
    <row r="407" spans="18:46">
      <c r="R407" s="97" t="s">
        <v>5492</v>
      </c>
      <c r="S407" s="93">
        <v>50725508.571864001</v>
      </c>
      <c r="U407" s="19" t="s">
        <v>5673</v>
      </c>
      <c r="V407" s="19">
        <v>8497</v>
      </c>
      <c r="W407" s="115">
        <v>1739.5531579999999</v>
      </c>
      <c r="X407" s="115">
        <f t="shared" si="103"/>
        <v>14780983.183526</v>
      </c>
      <c r="Y407" s="261" t="s">
        <v>5103</v>
      </c>
      <c r="AI407" s="20">
        <v>116</v>
      </c>
      <c r="AJ407" s="20" t="s">
        <v>5132</v>
      </c>
      <c r="AK407" s="115">
        <v>200000</v>
      </c>
      <c r="AL407" s="20">
        <v>3</v>
      </c>
      <c r="AM407" s="20">
        <f t="shared" ref="AM407:AM418" si="104">AL407+AM408</f>
        <v>535</v>
      </c>
      <c r="AN407" s="20">
        <f t="shared" ref="AN407:AN418" si="105">AK407*AM407</f>
        <v>107000000</v>
      </c>
      <c r="AO407" s="20"/>
    </row>
    <row r="408" spans="18:46" ht="30">
      <c r="R408" s="97" t="s">
        <v>5499</v>
      </c>
      <c r="S408" s="93">
        <v>2281961.458596</v>
      </c>
      <c r="U408" s="279" t="s">
        <v>5676</v>
      </c>
      <c r="V408" s="279">
        <v>163820</v>
      </c>
      <c r="W408" s="88">
        <v>1588.685326</v>
      </c>
      <c r="X408" s="88">
        <f t="shared" si="103"/>
        <v>260258430.10532001</v>
      </c>
      <c r="Y408" s="289" t="s">
        <v>5678</v>
      </c>
      <c r="AI408" s="147">
        <v>117</v>
      </c>
      <c r="AJ408" s="147" t="s">
        <v>5138</v>
      </c>
      <c r="AK408" s="186">
        <v>50000</v>
      </c>
      <c r="AL408" s="147">
        <v>7</v>
      </c>
      <c r="AM408" s="147">
        <f t="shared" si="104"/>
        <v>532</v>
      </c>
      <c r="AN408" s="147">
        <f t="shared" si="105"/>
        <v>26600000</v>
      </c>
      <c r="AO408" s="147"/>
    </row>
    <row r="409" spans="18:46">
      <c r="R409" s="97" t="s">
        <v>5500</v>
      </c>
      <c r="S409" s="93">
        <v>10998285</v>
      </c>
      <c r="U409" s="19" t="s">
        <v>5676</v>
      </c>
      <c r="V409" s="19">
        <v>11207</v>
      </c>
      <c r="W409" s="115">
        <v>1588.685326</v>
      </c>
      <c r="X409" s="115">
        <f t="shared" si="103"/>
        <v>17804396.448481999</v>
      </c>
      <c r="Y409" s="261" t="s">
        <v>5103</v>
      </c>
      <c r="Z409" t="s">
        <v>25</v>
      </c>
      <c r="AA409" t="s">
        <v>25</v>
      </c>
      <c r="AI409" s="20">
        <v>118</v>
      </c>
      <c r="AJ409" s="20" t="s">
        <v>5146</v>
      </c>
      <c r="AK409" s="115">
        <v>-500000</v>
      </c>
      <c r="AL409" s="20">
        <v>12</v>
      </c>
      <c r="AM409" s="20">
        <f t="shared" si="104"/>
        <v>525</v>
      </c>
      <c r="AN409" s="20">
        <f t="shared" si="105"/>
        <v>-262500000</v>
      </c>
      <c r="AO409" s="20"/>
    </row>
    <row r="410" spans="18:46">
      <c r="R410" s="97" t="s">
        <v>5502</v>
      </c>
      <c r="S410" s="93">
        <v>983018.96187300002</v>
      </c>
      <c r="T410" t="s">
        <v>25</v>
      </c>
      <c r="U410" s="19" t="s">
        <v>5679</v>
      </c>
      <c r="V410" s="19">
        <v>7198</v>
      </c>
      <c r="W410" s="115">
        <v>1602.9918909999999</v>
      </c>
      <c r="X410" s="115">
        <f t="shared" si="103"/>
        <v>11538335.631417999</v>
      </c>
      <c r="Y410" s="261" t="s">
        <v>5103</v>
      </c>
      <c r="Z410" t="s">
        <v>25</v>
      </c>
      <c r="AI410" s="147">
        <v>119</v>
      </c>
      <c r="AJ410" s="147" t="s">
        <v>974</v>
      </c>
      <c r="AK410" s="186">
        <v>-50000</v>
      </c>
      <c r="AL410" s="147">
        <v>0</v>
      </c>
      <c r="AM410" s="147">
        <f t="shared" si="104"/>
        <v>513</v>
      </c>
      <c r="AN410" s="147">
        <f t="shared" si="105"/>
        <v>-25650000</v>
      </c>
      <c r="AO410" s="147"/>
    </row>
    <row r="411" spans="18:46">
      <c r="R411" s="97" t="s">
        <v>5505</v>
      </c>
      <c r="S411" s="93">
        <v>17049271.032000002</v>
      </c>
      <c r="U411" s="19" t="s">
        <v>5680</v>
      </c>
      <c r="V411" s="19">
        <v>7804</v>
      </c>
      <c r="W411" s="115">
        <v>1592.7111440000001</v>
      </c>
      <c r="X411" s="115">
        <f t="shared" si="103"/>
        <v>12429517.767776001</v>
      </c>
      <c r="Y411" s="261" t="s">
        <v>5103</v>
      </c>
      <c r="AA411" t="s">
        <v>25</v>
      </c>
      <c r="AI411" s="20">
        <v>120</v>
      </c>
      <c r="AJ411" s="20" t="s">
        <v>974</v>
      </c>
      <c r="AK411" s="115">
        <v>-50000</v>
      </c>
      <c r="AL411" s="20">
        <v>28</v>
      </c>
      <c r="AM411" s="20">
        <f t="shared" si="104"/>
        <v>513</v>
      </c>
      <c r="AN411" s="20">
        <f t="shared" si="105"/>
        <v>-25650000</v>
      </c>
      <c r="AO411" s="20"/>
    </row>
    <row r="412" spans="18:46">
      <c r="R412" s="97" t="s">
        <v>4209</v>
      </c>
      <c r="S412" s="93">
        <v>6829998</v>
      </c>
      <c r="U412" s="19" t="s">
        <v>5688</v>
      </c>
      <c r="V412" s="19">
        <v>2827</v>
      </c>
      <c r="W412" s="115">
        <v>1779.6874809999999</v>
      </c>
      <c r="X412" s="115">
        <f t="shared" si="103"/>
        <v>5031176.5087869996</v>
      </c>
      <c r="Y412" s="261" t="s">
        <v>5103</v>
      </c>
      <c r="Z412" t="s">
        <v>25</v>
      </c>
      <c r="AI412" s="20">
        <v>121</v>
      </c>
      <c r="AJ412" s="20" t="s">
        <v>5187</v>
      </c>
      <c r="AK412" s="115">
        <v>-3020625</v>
      </c>
      <c r="AL412" s="20">
        <v>18</v>
      </c>
      <c r="AM412" s="20">
        <f t="shared" si="104"/>
        <v>485</v>
      </c>
      <c r="AN412" s="20">
        <f t="shared" si="105"/>
        <v>-1465003125</v>
      </c>
      <c r="AO412" s="20"/>
    </row>
    <row r="413" spans="18:46">
      <c r="R413" s="97" t="s">
        <v>5525</v>
      </c>
      <c r="S413" s="93">
        <v>6982608.8207999999</v>
      </c>
      <c r="U413" s="19" t="s">
        <v>5690</v>
      </c>
      <c r="V413" s="19">
        <v>3385</v>
      </c>
      <c r="W413" s="115">
        <v>2015.5993820000001</v>
      </c>
      <c r="X413" s="115">
        <f t="shared" si="103"/>
        <v>6822803.9080700008</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5531</v>
      </c>
      <c r="S414" s="93">
        <v>7510131.0216000006</v>
      </c>
      <c r="U414" s="19" t="s">
        <v>5694</v>
      </c>
      <c r="V414" s="19">
        <v>158</v>
      </c>
      <c r="W414" s="115">
        <v>2094.2388179999998</v>
      </c>
      <c r="X414" s="115">
        <f t="shared" si="103"/>
        <v>330889.73324399994</v>
      </c>
      <c r="Y414" s="261" t="s">
        <v>5103</v>
      </c>
      <c r="Z414" t="s">
        <v>25</v>
      </c>
      <c r="AI414" s="20">
        <v>123</v>
      </c>
      <c r="AJ414" s="20" t="s">
        <v>5225</v>
      </c>
      <c r="AK414" s="115">
        <v>2000000</v>
      </c>
      <c r="AL414" s="20">
        <v>6</v>
      </c>
      <c r="AM414" s="20">
        <f t="shared" si="104"/>
        <v>448</v>
      </c>
      <c r="AN414" s="20">
        <f t="shared" si="105"/>
        <v>896000000</v>
      </c>
      <c r="AO414" s="20"/>
    </row>
    <row r="415" spans="18:46">
      <c r="R415" s="97" t="s">
        <v>5540</v>
      </c>
      <c r="S415" s="93">
        <v>7278025.5327000003</v>
      </c>
      <c r="U415" s="19" t="s">
        <v>963</v>
      </c>
      <c r="V415" s="19">
        <v>5033</v>
      </c>
      <c r="W415" s="115">
        <v>2229.4976999999999</v>
      </c>
      <c r="X415" s="115">
        <f t="shared" si="103"/>
        <v>11221061.924099999</v>
      </c>
      <c r="Y415" s="261" t="s">
        <v>5699</v>
      </c>
      <c r="AA415" t="s">
        <v>25</v>
      </c>
      <c r="AI415" s="147">
        <v>124</v>
      </c>
      <c r="AJ415" s="147" t="s">
        <v>5234</v>
      </c>
      <c r="AK415" s="186">
        <v>40000000</v>
      </c>
      <c r="AL415" s="147">
        <v>6</v>
      </c>
      <c r="AM415" s="147">
        <f t="shared" si="104"/>
        <v>442</v>
      </c>
      <c r="AN415" s="147">
        <f t="shared" si="105"/>
        <v>17680000000</v>
      </c>
      <c r="AO415" s="147"/>
      <c r="AT415" t="s">
        <v>25</v>
      </c>
    </row>
    <row r="416" spans="18:46">
      <c r="R416" s="97" t="s">
        <v>5545</v>
      </c>
      <c r="S416" s="93">
        <v>195059.35799999998</v>
      </c>
      <c r="U416" s="19" t="s">
        <v>5703</v>
      </c>
      <c r="V416" s="19">
        <v>2870</v>
      </c>
      <c r="W416" s="115">
        <v>2303.2467459999998</v>
      </c>
      <c r="X416" s="115">
        <f t="shared" si="103"/>
        <v>6610318.1610199995</v>
      </c>
      <c r="Y416" s="261" t="s">
        <v>5103</v>
      </c>
      <c r="AI416" s="20">
        <v>125</v>
      </c>
      <c r="AJ416" s="20" t="s">
        <v>5243</v>
      </c>
      <c r="AK416" s="115">
        <v>200000</v>
      </c>
      <c r="AL416" s="20">
        <v>0</v>
      </c>
      <c r="AM416" s="20">
        <f t="shared" si="104"/>
        <v>436</v>
      </c>
      <c r="AN416" s="20">
        <f t="shared" si="105"/>
        <v>87200000</v>
      </c>
      <c r="AO416" s="20"/>
    </row>
    <row r="417" spans="18:46">
      <c r="R417" s="97" t="s">
        <v>5547</v>
      </c>
      <c r="S417" s="93">
        <v>862577.83200000005</v>
      </c>
      <c r="U417" s="19" t="s">
        <v>5704</v>
      </c>
      <c r="V417" s="19">
        <v>307</v>
      </c>
      <c r="W417" s="115">
        <v>2315.0266360000001</v>
      </c>
      <c r="X417" s="115">
        <f t="shared" si="103"/>
        <v>710713.17725199996</v>
      </c>
      <c r="Y417" s="261" t="s">
        <v>5103</v>
      </c>
      <c r="AI417" s="147">
        <v>126</v>
      </c>
      <c r="AJ417" s="147" t="s">
        <v>5243</v>
      </c>
      <c r="AK417" s="186">
        <v>200000</v>
      </c>
      <c r="AL417" s="147">
        <v>1</v>
      </c>
      <c r="AM417" s="147">
        <f t="shared" si="104"/>
        <v>436</v>
      </c>
      <c r="AN417" s="147">
        <f t="shared" si="105"/>
        <v>87200000</v>
      </c>
      <c r="AO417" s="147"/>
      <c r="AS417" t="s">
        <v>25</v>
      </c>
      <c r="AT417" t="s">
        <v>25</v>
      </c>
    </row>
    <row r="418" spans="18:46" ht="30">
      <c r="R418" s="97" t="s">
        <v>5548</v>
      </c>
      <c r="S418" s="93">
        <v>920308.446</v>
      </c>
      <c r="U418" s="19" t="s">
        <v>5706</v>
      </c>
      <c r="V418" s="19">
        <v>35</v>
      </c>
      <c r="W418" s="115">
        <v>2315</v>
      </c>
      <c r="X418" s="115">
        <f t="shared" si="103"/>
        <v>81025</v>
      </c>
      <c r="Y418" s="261" t="s">
        <v>5708</v>
      </c>
      <c r="Z418" s="112"/>
      <c r="AI418" s="20">
        <v>127</v>
      </c>
      <c r="AJ418" s="20" t="s">
        <v>5246</v>
      </c>
      <c r="AK418" s="115">
        <v>50000</v>
      </c>
      <c r="AL418" s="20">
        <v>4</v>
      </c>
      <c r="AM418" s="20">
        <f t="shared" si="104"/>
        <v>435</v>
      </c>
      <c r="AN418" s="20">
        <f t="shared" si="105"/>
        <v>21750000</v>
      </c>
      <c r="AO418" s="20"/>
    </row>
    <row r="419" spans="18:46">
      <c r="R419" s="97" t="s">
        <v>5550</v>
      </c>
      <c r="S419" s="93">
        <v>4635809.8416840006</v>
      </c>
      <c r="T419" t="s">
        <v>25</v>
      </c>
      <c r="U419" s="19" t="s">
        <v>5709</v>
      </c>
      <c r="V419" s="19">
        <v>94</v>
      </c>
      <c r="W419" s="115">
        <v>2337.1980119999998</v>
      </c>
      <c r="X419" s="115">
        <f t="shared" si="103"/>
        <v>219696.613128</v>
      </c>
      <c r="Y419" s="261" t="s">
        <v>5103</v>
      </c>
      <c r="Z419" t="s">
        <v>25</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5579</v>
      </c>
      <c r="S420" s="93">
        <v>288892.40000000002</v>
      </c>
      <c r="U420" s="19" t="s">
        <v>5710</v>
      </c>
      <c r="V420" s="19">
        <v>2534</v>
      </c>
      <c r="W420" s="115">
        <v>2381.7965300000001</v>
      </c>
      <c r="X420" s="115">
        <f t="shared" si="103"/>
        <v>6035472.4070199998</v>
      </c>
      <c r="Y420" s="261" t="s">
        <v>5103</v>
      </c>
      <c r="AI420" s="20">
        <v>129</v>
      </c>
      <c r="AJ420" s="20" t="s">
        <v>5264</v>
      </c>
      <c r="AK420" s="115">
        <v>-550000</v>
      </c>
      <c r="AL420" s="20">
        <v>5</v>
      </c>
      <c r="AM420" s="20">
        <f t="shared" si="106"/>
        <v>422</v>
      </c>
      <c r="AN420" s="20">
        <f t="shared" si="107"/>
        <v>-232100000</v>
      </c>
      <c r="AO420" s="20"/>
      <c r="AS420" t="s">
        <v>25</v>
      </c>
    </row>
    <row r="421" spans="18:46">
      <c r="R421" s="97" t="s">
        <v>5580</v>
      </c>
      <c r="S421" s="93">
        <v>58508002.009000003</v>
      </c>
      <c r="U421" s="19" t="s">
        <v>5711</v>
      </c>
      <c r="V421" s="19">
        <v>424</v>
      </c>
      <c r="W421" s="115">
        <v>2321.9017680000002</v>
      </c>
      <c r="X421" s="115">
        <f t="shared" si="103"/>
        <v>984486.34963200008</v>
      </c>
      <c r="Y421" s="261" t="s">
        <v>5103</v>
      </c>
      <c r="AA421" t="s">
        <v>25</v>
      </c>
      <c r="AI421" s="20">
        <v>130</v>
      </c>
      <c r="AJ421" s="20" t="s">
        <v>5269</v>
      </c>
      <c r="AK421" s="115">
        <v>-29686490</v>
      </c>
      <c r="AL421" s="20">
        <v>1</v>
      </c>
      <c r="AM421" s="20">
        <f t="shared" si="106"/>
        <v>417</v>
      </c>
      <c r="AN421" s="20">
        <f t="shared" si="107"/>
        <v>-12379266330</v>
      </c>
      <c r="AO421" s="20"/>
    </row>
    <row r="422" spans="18:46">
      <c r="R422" s="97" t="s">
        <v>5582</v>
      </c>
      <c r="S422" s="93">
        <v>2245515.5410799999</v>
      </c>
      <c r="U422" s="187" t="s">
        <v>5712</v>
      </c>
      <c r="V422" s="187">
        <v>-32</v>
      </c>
      <c r="W422" s="186">
        <v>2221.2123710000001</v>
      </c>
      <c r="X422" s="186">
        <f t="shared" si="103"/>
        <v>-71078.795872000002</v>
      </c>
      <c r="Y422" s="260" t="s">
        <v>5715</v>
      </c>
      <c r="AI422" s="20">
        <v>131</v>
      </c>
      <c r="AJ422" s="20" t="s">
        <v>5277</v>
      </c>
      <c r="AK422" s="115">
        <v>-9000000</v>
      </c>
      <c r="AL422" s="20">
        <v>8</v>
      </c>
      <c r="AM422" s="20">
        <f t="shared" si="106"/>
        <v>416</v>
      </c>
      <c r="AN422" s="20">
        <f t="shared" si="107"/>
        <v>-3744000000</v>
      </c>
      <c r="AO422" s="20"/>
    </row>
    <row r="423" spans="18:46">
      <c r="R423" s="97" t="s">
        <v>5582</v>
      </c>
      <c r="S423" s="93">
        <v>18404699.3442</v>
      </c>
      <c r="U423" s="19" t="s">
        <v>5712</v>
      </c>
      <c r="V423" s="19">
        <v>157</v>
      </c>
      <c r="W423" s="115">
        <v>2221.2123710000001</v>
      </c>
      <c r="X423" s="115">
        <f t="shared" si="103"/>
        <v>348730.34224700002</v>
      </c>
      <c r="Y423" s="261" t="s">
        <v>5716</v>
      </c>
      <c r="AI423" s="20">
        <v>132</v>
      </c>
      <c r="AJ423" s="20" t="s">
        <v>5321</v>
      </c>
      <c r="AK423" s="115">
        <v>810000</v>
      </c>
      <c r="AL423" s="20">
        <v>2</v>
      </c>
      <c r="AM423" s="20">
        <f t="shared" si="106"/>
        <v>408</v>
      </c>
      <c r="AN423" s="20">
        <f t="shared" si="107"/>
        <v>330480000</v>
      </c>
      <c r="AO423" s="20"/>
    </row>
    <row r="424" spans="18:46">
      <c r="R424" s="97" t="s">
        <v>5585</v>
      </c>
      <c r="S424" s="93">
        <v>48684800</v>
      </c>
      <c r="T424" t="s">
        <v>25</v>
      </c>
      <c r="U424" s="19" t="s">
        <v>5712</v>
      </c>
      <c r="V424" s="19">
        <v>965</v>
      </c>
      <c r="W424" s="115">
        <v>2221.2123710000001</v>
      </c>
      <c r="X424" s="115">
        <f t="shared" si="103"/>
        <v>2143469.938015</v>
      </c>
      <c r="Y424" s="261" t="s">
        <v>5103</v>
      </c>
      <c r="AI424" s="20">
        <v>133</v>
      </c>
      <c r="AJ424" s="20" t="s">
        <v>5326</v>
      </c>
      <c r="AK424" s="115">
        <v>-5000000</v>
      </c>
      <c r="AL424" s="20">
        <v>3</v>
      </c>
      <c r="AM424" s="20">
        <f t="shared" si="106"/>
        <v>406</v>
      </c>
      <c r="AN424" s="20">
        <f t="shared" si="107"/>
        <v>-2030000000</v>
      </c>
      <c r="AO424" s="20"/>
    </row>
    <row r="425" spans="18:46">
      <c r="R425" s="97" t="s">
        <v>5587</v>
      </c>
      <c r="S425" s="93">
        <v>2264658.5922190002</v>
      </c>
      <c r="U425" s="187" t="s">
        <v>5718</v>
      </c>
      <c r="V425" s="187">
        <v>596</v>
      </c>
      <c r="W425" s="186">
        <v>2180.6765719999999</v>
      </c>
      <c r="X425" s="186">
        <f t="shared" si="103"/>
        <v>1299683.236912</v>
      </c>
      <c r="Y425" s="260" t="s">
        <v>1069</v>
      </c>
      <c r="Z425" t="s">
        <v>25</v>
      </c>
      <c r="AI425" s="20">
        <v>134</v>
      </c>
      <c r="AJ425" s="20" t="s">
        <v>5330</v>
      </c>
      <c r="AK425" s="115">
        <v>-26000000</v>
      </c>
      <c r="AL425" s="20">
        <v>0</v>
      </c>
      <c r="AM425" s="20">
        <f t="shared" si="106"/>
        <v>403</v>
      </c>
      <c r="AN425" s="20">
        <f t="shared" si="107"/>
        <v>-10478000000</v>
      </c>
      <c r="AO425" s="20"/>
    </row>
    <row r="426" spans="18:46">
      <c r="R426" s="97" t="s">
        <v>5590</v>
      </c>
      <c r="S426" s="93">
        <v>22877413.789960001</v>
      </c>
      <c r="U426" s="19" t="s">
        <v>5722</v>
      </c>
      <c r="V426" s="19">
        <v>1355</v>
      </c>
      <c r="W426" s="115">
        <v>2277.0926330000002</v>
      </c>
      <c r="X426" s="115">
        <f t="shared" si="103"/>
        <v>3085460.5177150001</v>
      </c>
      <c r="Y426" s="261" t="s">
        <v>5103</v>
      </c>
      <c r="AI426" s="240">
        <v>135</v>
      </c>
      <c r="AJ426" s="240" t="s">
        <v>5330</v>
      </c>
      <c r="AK426" s="231">
        <v>-26000000</v>
      </c>
      <c r="AL426" s="240">
        <v>1</v>
      </c>
      <c r="AM426" s="240">
        <f t="shared" si="106"/>
        <v>403</v>
      </c>
      <c r="AN426" s="240">
        <f t="shared" si="107"/>
        <v>-10478000000</v>
      </c>
      <c r="AO426" s="240"/>
    </row>
    <row r="427" spans="18:46">
      <c r="R427" s="97" t="s">
        <v>5591</v>
      </c>
      <c r="S427" s="93">
        <v>2362539.4373280001</v>
      </c>
      <c r="U427" s="19" t="s">
        <v>5723</v>
      </c>
      <c r="V427" s="19">
        <v>3742</v>
      </c>
      <c r="W427" s="115">
        <v>2207.7650429999999</v>
      </c>
      <c r="X427" s="115">
        <f t="shared" si="103"/>
        <v>8261456.790906</v>
      </c>
      <c r="Y427" s="261" t="s">
        <v>5103</v>
      </c>
      <c r="Z427" t="s">
        <v>25</v>
      </c>
      <c r="AI427" s="20">
        <v>136</v>
      </c>
      <c r="AJ427" s="20" t="s">
        <v>5334</v>
      </c>
      <c r="AK427" s="115">
        <v>-81800000</v>
      </c>
      <c r="AL427" s="20">
        <v>0</v>
      </c>
      <c r="AM427" s="20">
        <f t="shared" si="106"/>
        <v>402</v>
      </c>
      <c r="AN427" s="20">
        <f t="shared" si="107"/>
        <v>-32883600000</v>
      </c>
      <c r="AO427" s="20"/>
    </row>
    <row r="428" spans="18:46">
      <c r="R428" s="97" t="s">
        <v>5592</v>
      </c>
      <c r="S428" s="93">
        <v>16042676.656608</v>
      </c>
      <c r="U428" s="19" t="s">
        <v>5724</v>
      </c>
      <c r="V428" s="19">
        <v>3216</v>
      </c>
      <c r="W428" s="115">
        <v>2043.648557</v>
      </c>
      <c r="X428" s="115">
        <f t="shared" si="103"/>
        <v>6572373.7593120001</v>
      </c>
      <c r="Y428" s="261" t="s">
        <v>5103</v>
      </c>
      <c r="AI428" s="240">
        <v>137</v>
      </c>
      <c r="AJ428" s="240" t="s">
        <v>5334</v>
      </c>
      <c r="AK428" s="231">
        <v>-110000000</v>
      </c>
      <c r="AL428" s="240">
        <v>1</v>
      </c>
      <c r="AM428" s="240">
        <f t="shared" si="106"/>
        <v>402</v>
      </c>
      <c r="AN428" s="240">
        <f t="shared" si="107"/>
        <v>-44220000000</v>
      </c>
      <c r="AO428" s="240"/>
    </row>
    <row r="429" spans="18:46">
      <c r="R429" s="97" t="s">
        <v>5595</v>
      </c>
      <c r="S429" s="93">
        <v>18403291.448284</v>
      </c>
      <c r="U429" s="187" t="s">
        <v>5726</v>
      </c>
      <c r="V429" s="187">
        <v>42393</v>
      </c>
      <c r="W429" s="186">
        <v>2124.4852740000001</v>
      </c>
      <c r="X429" s="186">
        <f t="shared" si="103"/>
        <v>90063304.22068201</v>
      </c>
      <c r="Y429" s="260" t="s">
        <v>5727</v>
      </c>
      <c r="Z429" t="s">
        <v>25</v>
      </c>
      <c r="AI429" s="20">
        <v>138</v>
      </c>
      <c r="AJ429" s="20" t="s">
        <v>5335</v>
      </c>
      <c r="AK429" s="115">
        <v>-34000000</v>
      </c>
      <c r="AL429" s="20">
        <v>0</v>
      </c>
      <c r="AM429" s="20">
        <f t="shared" si="106"/>
        <v>401</v>
      </c>
      <c r="AN429" s="20">
        <f t="shared" si="107"/>
        <v>-13634000000</v>
      </c>
      <c r="AO429" s="20"/>
    </row>
    <row r="430" spans="18:46">
      <c r="R430" s="97" t="s">
        <v>5596</v>
      </c>
      <c r="S430" s="93">
        <v>10561447.246918</v>
      </c>
      <c r="U430" s="19" t="s">
        <v>5728</v>
      </c>
      <c r="V430" s="19">
        <v>1307</v>
      </c>
      <c r="W430" s="115">
        <v>2213.652313</v>
      </c>
      <c r="X430" s="115">
        <f t="shared" si="103"/>
        <v>2893243.5730909999</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5597</v>
      </c>
      <c r="S431" s="93">
        <v>1226811.9176660001</v>
      </c>
      <c r="U431" s="19" t="s">
        <v>5729</v>
      </c>
      <c r="V431" s="19">
        <v>44079</v>
      </c>
      <c r="W431" s="115">
        <v>2155.0411519999998</v>
      </c>
      <c r="X431" s="115">
        <f t="shared" si="103"/>
        <v>94992058.939007998</v>
      </c>
      <c r="Y431" s="261" t="s">
        <v>5103</v>
      </c>
      <c r="Z431" t="s">
        <v>25</v>
      </c>
      <c r="AA431" t="s">
        <v>25</v>
      </c>
      <c r="AI431" s="20">
        <v>140</v>
      </c>
      <c r="AJ431" s="20" t="s">
        <v>5348</v>
      </c>
      <c r="AK431" s="115">
        <v>1000000</v>
      </c>
      <c r="AL431" s="20">
        <v>0</v>
      </c>
      <c r="AM431" s="20">
        <f t="shared" si="108"/>
        <v>396</v>
      </c>
      <c r="AN431" s="20">
        <f t="shared" si="109"/>
        <v>396000000</v>
      </c>
      <c r="AO431" s="20"/>
    </row>
    <row r="432" spans="18:46">
      <c r="R432" s="97" t="s">
        <v>5602</v>
      </c>
      <c r="S432" s="93">
        <v>39373959.190266006</v>
      </c>
      <c r="U432" s="19" t="s">
        <v>5734</v>
      </c>
      <c r="V432" s="19">
        <v>131</v>
      </c>
      <c r="W432" s="115">
        <v>2099.4040150000001</v>
      </c>
      <c r="X432" s="115">
        <f t="shared" si="103"/>
        <v>275021.925965</v>
      </c>
      <c r="Y432" s="261" t="s">
        <v>5103</v>
      </c>
      <c r="Z432" t="s">
        <v>25</v>
      </c>
      <c r="AI432" s="147">
        <v>141</v>
      </c>
      <c r="AJ432" s="147" t="s">
        <v>5348</v>
      </c>
      <c r="AK432" s="186">
        <v>1000000</v>
      </c>
      <c r="AL432" s="147">
        <v>4</v>
      </c>
      <c r="AM432" s="147">
        <f t="shared" si="108"/>
        <v>396</v>
      </c>
      <c r="AN432" s="147">
        <f t="shared" si="109"/>
        <v>396000000</v>
      </c>
      <c r="AO432" s="147"/>
    </row>
    <row r="433" spans="18:46">
      <c r="R433" s="97" t="s">
        <v>5603</v>
      </c>
      <c r="S433" s="93">
        <v>27703487.063980002</v>
      </c>
      <c r="U433" s="19" t="s">
        <v>5739</v>
      </c>
      <c r="V433" s="19">
        <v>162</v>
      </c>
      <c r="W433" s="115">
        <v>2021.3081500000001</v>
      </c>
      <c r="X433" s="115">
        <f t="shared" si="103"/>
        <v>327451.9203</v>
      </c>
      <c r="Y433" s="261" t="s">
        <v>5103</v>
      </c>
      <c r="AA433" t="s">
        <v>25</v>
      </c>
      <c r="AI433" s="20">
        <v>142</v>
      </c>
      <c r="AJ433" s="20" t="s">
        <v>5354</v>
      </c>
      <c r="AK433" s="115">
        <v>400000</v>
      </c>
      <c r="AL433" s="20">
        <v>0</v>
      </c>
      <c r="AM433" s="20">
        <f t="shared" si="108"/>
        <v>392</v>
      </c>
      <c r="AN433" s="20">
        <f t="shared" si="109"/>
        <v>156800000</v>
      </c>
      <c r="AO433" s="20"/>
    </row>
    <row r="434" spans="18:46">
      <c r="R434" s="97" t="s">
        <v>4182</v>
      </c>
      <c r="S434" s="93">
        <v>8738896.6890719999</v>
      </c>
      <c r="U434" s="19" t="s">
        <v>5749</v>
      </c>
      <c r="V434" s="19">
        <v>131</v>
      </c>
      <c r="W434" s="115">
        <v>1985.358328</v>
      </c>
      <c r="X434" s="115">
        <f t="shared" si="103"/>
        <v>260081.94096800001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5605</v>
      </c>
      <c r="S435" s="93">
        <v>348201.66738</v>
      </c>
      <c r="U435" s="19" t="s">
        <v>5758</v>
      </c>
      <c r="V435" s="19">
        <v>1449</v>
      </c>
      <c r="W435" s="115">
        <v>2007.787806</v>
      </c>
      <c r="X435" s="115">
        <f t="shared" si="103"/>
        <v>2909284.5308940001</v>
      </c>
      <c r="Y435" s="261" t="s">
        <v>5103</v>
      </c>
      <c r="AA435" t="s">
        <v>25</v>
      </c>
      <c r="AI435" s="20">
        <v>144</v>
      </c>
      <c r="AJ435" s="20" t="s">
        <v>5388</v>
      </c>
      <c r="AK435" s="115">
        <v>3000000</v>
      </c>
      <c r="AL435" s="20">
        <v>0</v>
      </c>
      <c r="AM435" s="20">
        <f t="shared" si="108"/>
        <v>357</v>
      </c>
      <c r="AN435" s="20">
        <f t="shared" si="109"/>
        <v>1071000000</v>
      </c>
      <c r="AO435" s="20"/>
      <c r="AR435" t="s">
        <v>25</v>
      </c>
    </row>
    <row r="436" spans="18:46">
      <c r="R436" s="97" t="s">
        <v>5609</v>
      </c>
      <c r="S436" s="93">
        <v>4158090.8935679998</v>
      </c>
      <c r="U436" s="19" t="s">
        <v>5759</v>
      </c>
      <c r="V436" s="19">
        <v>19028</v>
      </c>
      <c r="W436" s="115">
        <v>1982.5102529999999</v>
      </c>
      <c r="X436" s="115">
        <f t="shared" si="103"/>
        <v>37723205.094084002</v>
      </c>
      <c r="Y436" s="261" t="s">
        <v>5103</v>
      </c>
      <c r="Z436" t="s">
        <v>25</v>
      </c>
      <c r="AA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5606</v>
      </c>
      <c r="S437" s="93">
        <v>110770524.97879399</v>
      </c>
      <c r="U437" s="19" t="s">
        <v>5760</v>
      </c>
      <c r="V437" s="19">
        <v>848</v>
      </c>
      <c r="W437" s="115">
        <v>1768.97966</v>
      </c>
      <c r="X437" s="115">
        <f t="shared" si="103"/>
        <v>1500094.75168</v>
      </c>
      <c r="Y437" s="261" t="s">
        <v>5103</v>
      </c>
      <c r="AI437" s="147">
        <v>146</v>
      </c>
      <c r="AJ437" s="147" t="s">
        <v>5287</v>
      </c>
      <c r="AK437" s="186">
        <v>-8644090</v>
      </c>
      <c r="AL437" s="147">
        <v>0</v>
      </c>
      <c r="AM437" s="147">
        <f t="shared" si="110"/>
        <v>338</v>
      </c>
      <c r="AN437" s="147">
        <f t="shared" si="111"/>
        <v>-2921702420</v>
      </c>
      <c r="AO437" s="147" t="s">
        <v>4732</v>
      </c>
    </row>
    <row r="438" spans="18:46">
      <c r="R438" s="97" t="s">
        <v>5609</v>
      </c>
      <c r="S438" s="93">
        <v>17900000</v>
      </c>
      <c r="U438" s="19" t="s">
        <v>5761</v>
      </c>
      <c r="V438" s="19">
        <v>3824</v>
      </c>
      <c r="W438" s="115">
        <v>1890.8547169999999</v>
      </c>
      <c r="X438" s="115">
        <f t="shared" si="103"/>
        <v>7230628.4378079996</v>
      </c>
      <c r="Y438" s="261" t="s">
        <v>5103</v>
      </c>
      <c r="AI438" s="20">
        <v>147</v>
      </c>
      <c r="AJ438" s="20" t="s">
        <v>5287</v>
      </c>
      <c r="AK438" s="115">
        <v>-65461942</v>
      </c>
      <c r="AL438" s="20">
        <v>1</v>
      </c>
      <c r="AM438" s="20">
        <f t="shared" si="110"/>
        <v>338</v>
      </c>
      <c r="AN438" s="20">
        <f t="shared" si="111"/>
        <v>-22126136396</v>
      </c>
      <c r="AO438" s="20" t="s">
        <v>4732</v>
      </c>
    </row>
    <row r="439" spans="18:46">
      <c r="R439" s="97" t="s">
        <v>5621</v>
      </c>
      <c r="S439" s="93">
        <v>12114824.927374</v>
      </c>
      <c r="U439" s="19" t="s">
        <v>5763</v>
      </c>
      <c r="V439" s="19">
        <v>14010</v>
      </c>
      <c r="W439" s="115">
        <v>2124.7244390000001</v>
      </c>
      <c r="X439" s="115">
        <f t="shared" si="103"/>
        <v>29767389.390390001</v>
      </c>
      <c r="Y439" s="261" t="s">
        <v>5103</v>
      </c>
      <c r="AI439" s="20">
        <v>148</v>
      </c>
      <c r="AJ439" s="20" t="s">
        <v>5411</v>
      </c>
      <c r="AK439" s="115">
        <v>35000000</v>
      </c>
      <c r="AL439" s="20">
        <v>15</v>
      </c>
      <c r="AM439" s="20">
        <f t="shared" si="110"/>
        <v>337</v>
      </c>
      <c r="AN439" s="20">
        <f t="shared" si="111"/>
        <v>11795000000</v>
      </c>
      <c r="AO439" s="20"/>
      <c r="AT439" t="s">
        <v>25</v>
      </c>
    </row>
    <row r="440" spans="18:46">
      <c r="R440" s="97" t="s">
        <v>5624</v>
      </c>
      <c r="S440" s="93">
        <v>6684147.0064600008</v>
      </c>
      <c r="U440" s="19" t="s">
        <v>5764</v>
      </c>
      <c r="V440" s="19">
        <v>73</v>
      </c>
      <c r="W440" s="115">
        <v>2076.1678900000002</v>
      </c>
      <c r="X440" s="115">
        <f t="shared" si="103"/>
        <v>151560.25597</v>
      </c>
      <c r="Y440" s="261" t="s">
        <v>5103</v>
      </c>
      <c r="AB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5628</v>
      </c>
      <c r="S441" s="93">
        <v>1826535.2307560001</v>
      </c>
      <c r="U441" s="19" t="s">
        <v>5766</v>
      </c>
      <c r="V441" s="19">
        <v>236</v>
      </c>
      <c r="W441" s="115">
        <v>2039.4867830000001</v>
      </c>
      <c r="X441" s="115">
        <f t="shared" si="103"/>
        <v>481318.88078800001</v>
      </c>
      <c r="Y441" s="261" t="s">
        <v>5103</v>
      </c>
      <c r="AI441" s="20">
        <v>150</v>
      </c>
      <c r="AJ441" s="20" t="s">
        <v>5430</v>
      </c>
      <c r="AK441" s="115">
        <v>1600000</v>
      </c>
      <c r="AL441" s="20">
        <v>1</v>
      </c>
      <c r="AM441" s="20">
        <f t="shared" si="112"/>
        <v>322</v>
      </c>
      <c r="AN441" s="20">
        <f t="shared" si="113"/>
        <v>515200000</v>
      </c>
      <c r="AO441" s="20"/>
    </row>
    <row r="442" spans="18:46">
      <c r="R442" s="97" t="s">
        <v>5630</v>
      </c>
      <c r="S442" s="93">
        <v>3577366.94</v>
      </c>
      <c r="U442" s="19" t="s">
        <v>5769</v>
      </c>
      <c r="V442" s="19">
        <v>75</v>
      </c>
      <c r="W442" s="115">
        <v>1950.3675760000001</v>
      </c>
      <c r="X442" s="115">
        <f t="shared" si="103"/>
        <v>146277.56820000001</v>
      </c>
      <c r="Y442" s="261" t="s">
        <v>5103</v>
      </c>
      <c r="AI442" s="147">
        <v>151</v>
      </c>
      <c r="AJ442" s="147" t="s">
        <v>5433</v>
      </c>
      <c r="AK442" s="186">
        <v>600000</v>
      </c>
      <c r="AL442" s="147">
        <v>0</v>
      </c>
      <c r="AM442" s="147">
        <f t="shared" si="112"/>
        <v>321</v>
      </c>
      <c r="AN442" s="147">
        <f t="shared" si="113"/>
        <v>192600000</v>
      </c>
      <c r="AO442" s="147" t="s">
        <v>5435</v>
      </c>
    </row>
    <row r="443" spans="18:46">
      <c r="R443" s="97" t="s">
        <v>5633</v>
      </c>
      <c r="S443" s="93">
        <v>21239029.173567999</v>
      </c>
      <c r="U443" s="19" t="s">
        <v>5781</v>
      </c>
      <c r="V443" s="19">
        <v>232</v>
      </c>
      <c r="W443" s="115">
        <v>1830.5750069999999</v>
      </c>
      <c r="X443" s="115">
        <f t="shared" si="103"/>
        <v>424693.40162399999</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5638</v>
      </c>
      <c r="S444" s="93">
        <v>242957252.40163299</v>
      </c>
      <c r="U444" s="19" t="s">
        <v>5784</v>
      </c>
      <c r="V444" s="19">
        <v>308</v>
      </c>
      <c r="W444" s="115">
        <v>1812.728578</v>
      </c>
      <c r="X444" s="115">
        <f t="shared" si="103"/>
        <v>558320.40202399995</v>
      </c>
      <c r="Y444" s="261" t="s">
        <v>5103</v>
      </c>
      <c r="Z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5639</v>
      </c>
      <c r="S445" s="93">
        <v>7357181.2750800001</v>
      </c>
      <c r="U445" s="19" t="s">
        <v>5786</v>
      </c>
      <c r="V445" s="19">
        <v>106</v>
      </c>
      <c r="W445" s="115">
        <v>1958.8888869</v>
      </c>
      <c r="X445" s="115">
        <f t="shared" si="103"/>
        <v>207642.22201140001</v>
      </c>
      <c r="Y445" s="261" t="s">
        <v>5103</v>
      </c>
      <c r="AI445" s="20">
        <v>154</v>
      </c>
      <c r="AJ445" s="20" t="s">
        <v>5483</v>
      </c>
      <c r="AK445" s="115">
        <v>-46183500</v>
      </c>
      <c r="AL445" s="20">
        <v>0</v>
      </c>
      <c r="AM445" s="20">
        <f t="shared" si="114"/>
        <v>289</v>
      </c>
      <c r="AN445" s="20">
        <f t="shared" si="115"/>
        <v>-13347031500</v>
      </c>
      <c r="AO445" s="20" t="s">
        <v>4854</v>
      </c>
    </row>
    <row r="446" spans="18:46">
      <c r="R446" s="97" t="s">
        <v>5643</v>
      </c>
      <c r="S446" s="93">
        <v>14951411.942400001</v>
      </c>
      <c r="U446" s="19" t="s">
        <v>5808</v>
      </c>
      <c r="V446" s="19">
        <v>17050</v>
      </c>
      <c r="W446" s="115">
        <v>1984.311475</v>
      </c>
      <c r="X446" s="115">
        <f t="shared" si="103"/>
        <v>33832510.64875</v>
      </c>
      <c r="Y446" s="261" t="s">
        <v>5810</v>
      </c>
      <c r="Z446" t="s">
        <v>25</v>
      </c>
      <c r="AB446" t="s">
        <v>25</v>
      </c>
      <c r="AI446" s="147">
        <v>155</v>
      </c>
      <c r="AJ446" s="147" t="s">
        <v>5483</v>
      </c>
      <c r="AK446" s="186">
        <v>-1812800</v>
      </c>
      <c r="AL446" s="147">
        <v>2</v>
      </c>
      <c r="AM446" s="147">
        <f>AL446+AM447</f>
        <v>289</v>
      </c>
      <c r="AN446" s="147">
        <f t="shared" si="115"/>
        <v>-523899200</v>
      </c>
      <c r="AO446" s="147" t="s">
        <v>4854</v>
      </c>
      <c r="AR446" t="s">
        <v>25</v>
      </c>
    </row>
    <row r="447" spans="18:46">
      <c r="R447" s="97" t="s">
        <v>5645</v>
      </c>
      <c r="S447" s="93">
        <v>47928209.377011999</v>
      </c>
      <c r="U447" s="19" t="s">
        <v>5808</v>
      </c>
      <c r="V447" s="19">
        <v>17050</v>
      </c>
      <c r="W447" s="115">
        <v>1984.311475</v>
      </c>
      <c r="X447" s="115">
        <f t="shared" si="103"/>
        <v>33832510.64875</v>
      </c>
      <c r="Y447" s="261" t="s">
        <v>5811</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5647</v>
      </c>
      <c r="S448" s="93">
        <v>2281595.69937</v>
      </c>
      <c r="U448" s="19" t="s">
        <v>5813</v>
      </c>
      <c r="V448" s="19">
        <v>9659</v>
      </c>
      <c r="W448" s="115">
        <v>2073.8685089999999</v>
      </c>
      <c r="X448" s="115">
        <f t="shared" si="103"/>
        <v>20031495.928431001</v>
      </c>
      <c r="Y448" s="261" t="s">
        <v>5814</v>
      </c>
      <c r="Z448" t="s">
        <v>25</v>
      </c>
      <c r="AI448" s="147">
        <v>157</v>
      </c>
      <c r="AJ448" s="147" t="s">
        <v>5487</v>
      </c>
      <c r="AK448" s="186">
        <v>60000</v>
      </c>
      <c r="AL448" s="147">
        <v>5</v>
      </c>
      <c r="AM448" s="147">
        <f t="shared" si="116"/>
        <v>287</v>
      </c>
      <c r="AN448" s="147">
        <f t="shared" si="117"/>
        <v>17220000</v>
      </c>
      <c r="AO448" s="147"/>
    </row>
    <row r="449" spans="18:45">
      <c r="R449" s="97" t="s">
        <v>5648</v>
      </c>
      <c r="S449" s="93">
        <v>2964916.035069</v>
      </c>
      <c r="U449" s="19" t="s">
        <v>5819</v>
      </c>
      <c r="V449" s="19">
        <v>323</v>
      </c>
      <c r="W449" s="115">
        <v>1975.162028</v>
      </c>
      <c r="X449" s="115">
        <f t="shared" si="103"/>
        <v>637977.33504399995</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5650</v>
      </c>
      <c r="S450" s="93">
        <v>6460549.4269619994</v>
      </c>
      <c r="U450" s="19" t="s">
        <v>5820</v>
      </c>
      <c r="V450" s="19">
        <v>238</v>
      </c>
      <c r="W450" s="115">
        <v>1960.303598</v>
      </c>
      <c r="X450" s="115">
        <f t="shared" si="103"/>
        <v>466552.25632400002</v>
      </c>
      <c r="Y450" s="261" t="s">
        <v>5103</v>
      </c>
      <c r="AA450" t="s">
        <v>25</v>
      </c>
      <c r="AI450" s="20">
        <v>159</v>
      </c>
      <c r="AJ450" s="20" t="s">
        <v>5550</v>
      </c>
      <c r="AK450" s="115">
        <v>100000</v>
      </c>
      <c r="AL450" s="20">
        <v>1</v>
      </c>
      <c r="AM450" s="20">
        <f t="shared" si="116"/>
        <v>253</v>
      </c>
      <c r="AN450" s="20">
        <f t="shared" si="117"/>
        <v>25300000</v>
      </c>
      <c r="AO450" s="20"/>
    </row>
    <row r="451" spans="18:45">
      <c r="R451" s="97" t="s">
        <v>5653</v>
      </c>
      <c r="S451" s="93">
        <v>5212319.8968359996</v>
      </c>
      <c r="U451" s="19" t="s">
        <v>5821</v>
      </c>
      <c r="V451" s="19">
        <v>75</v>
      </c>
      <c r="W451" s="115">
        <v>1990.893174</v>
      </c>
      <c r="X451" s="115">
        <f t="shared" si="103"/>
        <v>149316.98805000001</v>
      </c>
      <c r="Y451" s="261" t="s">
        <v>5822</v>
      </c>
      <c r="AA451" t="s">
        <v>25</v>
      </c>
      <c r="AG451" s="94" t="s">
        <v>25</v>
      </c>
      <c r="AI451" s="147">
        <v>160</v>
      </c>
      <c r="AJ451" s="147" t="s">
        <v>5539</v>
      </c>
      <c r="AK451" s="186">
        <v>150000</v>
      </c>
      <c r="AL451" s="147">
        <v>0</v>
      </c>
      <c r="AM451" s="147">
        <f t="shared" si="116"/>
        <v>252</v>
      </c>
      <c r="AN451" s="147">
        <f t="shared" si="117"/>
        <v>37800000</v>
      </c>
      <c r="AO451" s="147"/>
    </row>
    <row r="452" spans="18:45">
      <c r="R452" s="97" t="s">
        <v>5655</v>
      </c>
      <c r="S452" s="93">
        <v>4524496.4792809999</v>
      </c>
      <c r="U452" s="19" t="s">
        <v>5821</v>
      </c>
      <c r="V452" s="19">
        <v>95</v>
      </c>
      <c r="W452" s="115">
        <v>1990.893174</v>
      </c>
      <c r="X452" s="115">
        <f t="shared" si="103"/>
        <v>189134.85153000001</v>
      </c>
      <c r="Y452" s="261" t="s">
        <v>5103</v>
      </c>
      <c r="AA452" t="s">
        <v>25</v>
      </c>
      <c r="AI452" s="20">
        <v>161</v>
      </c>
      <c r="AJ452" s="20" t="s">
        <v>5539</v>
      </c>
      <c r="AK452" s="115">
        <v>-683050</v>
      </c>
      <c r="AL452" s="20">
        <v>7</v>
      </c>
      <c r="AM452" s="20">
        <f t="shared" si="116"/>
        <v>252</v>
      </c>
      <c r="AN452" s="20">
        <f t="shared" si="117"/>
        <v>-172128600</v>
      </c>
      <c r="AO452" s="20" t="s">
        <v>5553</v>
      </c>
    </row>
    <row r="453" spans="18:45">
      <c r="R453" s="97" t="s">
        <v>5657</v>
      </c>
      <c r="S453" s="93">
        <v>22866040.240959998</v>
      </c>
      <c r="U453" s="19" t="s">
        <v>5823</v>
      </c>
      <c r="V453" s="19">
        <v>284</v>
      </c>
      <c r="W453" s="115">
        <v>1989.045169</v>
      </c>
      <c r="X453" s="115">
        <f t="shared" si="103"/>
        <v>564888.82799599995</v>
      </c>
      <c r="Y453" s="261" t="s">
        <v>5103</v>
      </c>
      <c r="AA453" t="s">
        <v>25</v>
      </c>
      <c r="AI453" s="147">
        <v>162</v>
      </c>
      <c r="AJ453" s="147" t="s">
        <v>5561</v>
      </c>
      <c r="AK453" s="186">
        <v>200000</v>
      </c>
      <c r="AL453" s="147">
        <v>7</v>
      </c>
      <c r="AM453" s="147">
        <f t="shared" si="116"/>
        <v>245</v>
      </c>
      <c r="AN453" s="147">
        <f t="shared" si="117"/>
        <v>49000000</v>
      </c>
      <c r="AO453" s="147"/>
    </row>
    <row r="454" spans="18:45" ht="30">
      <c r="R454" s="97" t="s">
        <v>5659</v>
      </c>
      <c r="S454" s="93">
        <v>15359304.269892</v>
      </c>
      <c r="U454" s="187" t="s">
        <v>5826</v>
      </c>
      <c r="V454" s="187">
        <v>11034</v>
      </c>
      <c r="W454" s="186">
        <v>1960.6845390000001</v>
      </c>
      <c r="X454" s="186">
        <f t="shared" si="103"/>
        <v>21634193.203326002</v>
      </c>
      <c r="Y454" s="260" t="s">
        <v>5830</v>
      </c>
      <c r="AA454" t="s">
        <v>25</v>
      </c>
      <c r="AI454" s="147">
        <v>163</v>
      </c>
      <c r="AJ454" s="147" t="s">
        <v>5566</v>
      </c>
      <c r="AK454" s="186">
        <v>150000</v>
      </c>
      <c r="AL454" s="147">
        <v>5</v>
      </c>
      <c r="AM454" s="147">
        <f t="shared" si="116"/>
        <v>238</v>
      </c>
      <c r="AN454" s="147">
        <f t="shared" si="117"/>
        <v>35700000</v>
      </c>
      <c r="AO454" s="147"/>
    </row>
    <row r="455" spans="18:45" ht="30">
      <c r="R455" s="97" t="s">
        <v>5660</v>
      </c>
      <c r="S455" s="93">
        <v>2868508.1846330003</v>
      </c>
      <c r="U455" s="19" t="s">
        <v>5826</v>
      </c>
      <c r="V455" s="19">
        <v>4469</v>
      </c>
      <c r="W455" s="115">
        <v>1960.6845390000001</v>
      </c>
      <c r="X455" s="115">
        <f t="shared" si="103"/>
        <v>8762299.2047910001</v>
      </c>
      <c r="Y455" s="261" t="s">
        <v>5831</v>
      </c>
      <c r="AA455" t="s">
        <v>25</v>
      </c>
      <c r="AI455" s="20">
        <v>164</v>
      </c>
      <c r="AJ455" s="20" t="s">
        <v>5570</v>
      </c>
      <c r="AK455" s="115">
        <v>320000</v>
      </c>
      <c r="AL455" s="20">
        <v>2</v>
      </c>
      <c r="AM455" s="20">
        <f t="shared" si="116"/>
        <v>233</v>
      </c>
      <c r="AN455" s="20">
        <f t="shared" si="117"/>
        <v>74560000</v>
      </c>
      <c r="AO455" s="20"/>
    </row>
    <row r="456" spans="18:45">
      <c r="R456" s="97" t="s">
        <v>5661</v>
      </c>
      <c r="S456" s="93">
        <v>17450393.011856001</v>
      </c>
      <c r="U456" s="19" t="s">
        <v>5826</v>
      </c>
      <c r="V456" s="19">
        <v>-174834</v>
      </c>
      <c r="W456" s="115">
        <v>1955.271154</v>
      </c>
      <c r="X456" s="115">
        <f t="shared" si="103"/>
        <v>-341847876.93843603</v>
      </c>
      <c r="Y456" s="261" t="s">
        <v>5832</v>
      </c>
      <c r="AI456" s="20">
        <v>165</v>
      </c>
      <c r="AJ456" s="20" t="s">
        <v>5571</v>
      </c>
      <c r="AK456" s="115">
        <v>200000</v>
      </c>
      <c r="AL456" s="20">
        <v>29</v>
      </c>
      <c r="AM456" s="20">
        <f t="shared" si="116"/>
        <v>231</v>
      </c>
      <c r="AN456" s="20">
        <f t="shared" si="117"/>
        <v>46200000</v>
      </c>
      <c r="AO456" s="20"/>
    </row>
    <row r="457" spans="18:45">
      <c r="R457" s="97" t="s">
        <v>5662</v>
      </c>
      <c r="S457" s="93">
        <v>31388943.254850004</v>
      </c>
      <c r="U457" s="19" t="s">
        <v>5826</v>
      </c>
      <c r="V457" s="19">
        <v>-78942</v>
      </c>
      <c r="W457" s="115">
        <v>1955.271154</v>
      </c>
      <c r="X457" s="115">
        <f t="shared" si="103"/>
        <v>-154353015.43906799</v>
      </c>
      <c r="Y457" s="261" t="s">
        <v>5833</v>
      </c>
      <c r="AA457" t="s">
        <v>25</v>
      </c>
      <c r="AI457" s="20">
        <v>166</v>
      </c>
      <c r="AJ457" s="20" t="s">
        <v>5606</v>
      </c>
      <c r="AK457" s="115">
        <v>4200000</v>
      </c>
      <c r="AL457" s="20">
        <v>0</v>
      </c>
      <c r="AM457" s="20">
        <f t="shared" si="116"/>
        <v>202</v>
      </c>
      <c r="AN457" s="20">
        <f t="shared" si="117"/>
        <v>848400000</v>
      </c>
      <c r="AO457" s="20"/>
    </row>
    <row r="458" spans="18:45">
      <c r="R458" s="97" t="s">
        <v>5664</v>
      </c>
      <c r="S458" s="93">
        <v>30912095.373174001</v>
      </c>
      <c r="U458" s="187" t="s">
        <v>5826</v>
      </c>
      <c r="V458" s="187">
        <v>-11518</v>
      </c>
      <c r="W458" s="186">
        <v>1955.271154</v>
      </c>
      <c r="X458" s="186">
        <f t="shared" si="103"/>
        <v>-22520813.151772</v>
      </c>
      <c r="Y458" s="260" t="s">
        <v>5834</v>
      </c>
      <c r="AB458" t="s">
        <v>25</v>
      </c>
      <c r="AI458" s="147">
        <v>167</v>
      </c>
      <c r="AJ458" s="147" t="s">
        <v>5606</v>
      </c>
      <c r="AK458" s="186">
        <v>3300000</v>
      </c>
      <c r="AL458" s="147">
        <v>11</v>
      </c>
      <c r="AM458" s="147">
        <f t="shared" si="116"/>
        <v>202</v>
      </c>
      <c r="AN458" s="147">
        <f t="shared" si="117"/>
        <v>666600000</v>
      </c>
      <c r="AO458" s="147"/>
    </row>
    <row r="459" spans="18:45">
      <c r="R459" s="97" t="s">
        <v>5668</v>
      </c>
      <c r="S459" s="93">
        <v>19602926.115093999</v>
      </c>
      <c r="U459" s="19" t="s">
        <v>5845</v>
      </c>
      <c r="V459" s="19">
        <v>8622</v>
      </c>
      <c r="W459" s="115">
        <v>1930.4022150000001</v>
      </c>
      <c r="X459" s="115">
        <f t="shared" si="103"/>
        <v>16643927.89773</v>
      </c>
      <c r="Y459" s="261" t="s">
        <v>743</v>
      </c>
      <c r="AA459" t="s">
        <v>25</v>
      </c>
      <c r="AI459" s="147">
        <v>168</v>
      </c>
      <c r="AJ459" s="147" t="s">
        <v>5630</v>
      </c>
      <c r="AK459" s="186">
        <v>-1500000</v>
      </c>
      <c r="AL459" s="147">
        <v>42</v>
      </c>
      <c r="AM459" s="147">
        <f t="shared" si="116"/>
        <v>191</v>
      </c>
      <c r="AN459" s="147">
        <f t="shared" si="117"/>
        <v>-286500000</v>
      </c>
      <c r="AO459" s="147"/>
    </row>
    <row r="460" spans="18:45">
      <c r="R460" s="97" t="s">
        <v>5670</v>
      </c>
      <c r="S460" s="93">
        <v>34458590.308710001</v>
      </c>
      <c r="U460" s="19" t="s">
        <v>5846</v>
      </c>
      <c r="V460" s="19">
        <v>17384</v>
      </c>
      <c r="W460" s="115">
        <v>1918.745255</v>
      </c>
      <c r="X460" s="115">
        <f t="shared" si="103"/>
        <v>33355467.51292</v>
      </c>
      <c r="Y460" s="261" t="s">
        <v>743</v>
      </c>
      <c r="Z460" t="s">
        <v>25</v>
      </c>
      <c r="AA460" t="s">
        <v>25</v>
      </c>
      <c r="AI460" s="20">
        <v>169</v>
      </c>
      <c r="AJ460" s="20" t="s">
        <v>5676</v>
      </c>
      <c r="AK460" s="115">
        <v>260000</v>
      </c>
      <c r="AL460" s="20">
        <v>22</v>
      </c>
      <c r="AM460" s="20">
        <f t="shared" si="116"/>
        <v>149</v>
      </c>
      <c r="AN460" s="20">
        <f t="shared" si="117"/>
        <v>38740000</v>
      </c>
      <c r="AO460" s="20"/>
    </row>
    <row r="461" spans="18:45">
      <c r="R461" s="97" t="s">
        <v>5672</v>
      </c>
      <c r="S461" s="93">
        <v>21697868.203256</v>
      </c>
      <c r="U461" s="19" t="s">
        <v>5858</v>
      </c>
      <c r="V461" s="19">
        <v>133</v>
      </c>
      <c r="W461" s="115">
        <v>1954.8389770000001</v>
      </c>
      <c r="X461" s="115">
        <f t="shared" si="103"/>
        <v>259993.58394100002</v>
      </c>
      <c r="Y461" s="261" t="s">
        <v>5103</v>
      </c>
      <c r="AB461" t="s">
        <v>25</v>
      </c>
      <c r="AI461" s="20">
        <v>170</v>
      </c>
      <c r="AJ461" s="20" t="s">
        <v>5704</v>
      </c>
      <c r="AK461" s="115">
        <v>20000</v>
      </c>
      <c r="AL461" s="20">
        <v>0</v>
      </c>
      <c r="AM461" s="20">
        <f t="shared" si="116"/>
        <v>127</v>
      </c>
      <c r="AN461" s="20">
        <f t="shared" si="117"/>
        <v>2540000</v>
      </c>
      <c r="AO461" s="20"/>
    </row>
    <row r="462" spans="18:45">
      <c r="R462" s="97" t="s">
        <v>5673</v>
      </c>
      <c r="S462" s="93">
        <v>25340079.252110001</v>
      </c>
      <c r="U462" s="19" t="s">
        <v>5859</v>
      </c>
      <c r="V462" s="19">
        <v>140</v>
      </c>
      <c r="W462" s="115">
        <v>1928.2522289999999</v>
      </c>
      <c r="X462" s="115">
        <f t="shared" si="103"/>
        <v>269955.31205999997</v>
      </c>
      <c r="Y462" s="261" t="s">
        <v>5103</v>
      </c>
      <c r="Z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14780983.183526</v>
      </c>
      <c r="U463" s="19" t="s">
        <v>6391</v>
      </c>
      <c r="V463" s="19">
        <v>15839</v>
      </c>
      <c r="W463" s="115">
        <v>1893.9957079999999</v>
      </c>
      <c r="X463" s="115">
        <f t="shared" si="103"/>
        <v>29998998.019012</v>
      </c>
      <c r="Y463" s="261" t="s">
        <v>6390</v>
      </c>
      <c r="AA463" t="s">
        <v>25</v>
      </c>
      <c r="AB463" t="s">
        <v>25</v>
      </c>
      <c r="AI463" s="147">
        <v>172</v>
      </c>
      <c r="AJ463" s="147" t="s">
        <v>5712</v>
      </c>
      <c r="AK463" s="186">
        <v>70000</v>
      </c>
      <c r="AL463" s="147">
        <v>0</v>
      </c>
      <c r="AM463" s="147">
        <f t="shared" si="118"/>
        <v>120</v>
      </c>
      <c r="AN463" s="147">
        <f t="shared" si="119"/>
        <v>8400000</v>
      </c>
      <c r="AO463" s="147"/>
    </row>
    <row r="464" spans="18:45">
      <c r="R464" s="97" t="s">
        <v>5676</v>
      </c>
      <c r="S464" s="93">
        <v>17804396.448481999</v>
      </c>
      <c r="U464" s="19" t="s">
        <v>6394</v>
      </c>
      <c r="V464" s="19">
        <v>26601</v>
      </c>
      <c r="W464" s="115">
        <v>1880.082026</v>
      </c>
      <c r="X464" s="115">
        <f t="shared" si="103"/>
        <v>50012061.973626003</v>
      </c>
      <c r="Y464" s="261" t="s">
        <v>5342</v>
      </c>
      <c r="AI464" s="20">
        <v>173</v>
      </c>
      <c r="AJ464" s="20" t="s">
        <v>5712</v>
      </c>
      <c r="AK464" s="115">
        <v>70000</v>
      </c>
      <c r="AL464" s="20">
        <v>1</v>
      </c>
      <c r="AM464" s="20">
        <f t="shared" si="118"/>
        <v>120</v>
      </c>
      <c r="AN464" s="20">
        <f t="shared" si="119"/>
        <v>8400000</v>
      </c>
      <c r="AO464" s="20"/>
      <c r="AS464" t="s">
        <v>25</v>
      </c>
    </row>
    <row r="465" spans="18:46">
      <c r="R465" s="97" t="s">
        <v>5679</v>
      </c>
      <c r="S465" s="93">
        <v>260260000</v>
      </c>
      <c r="U465" s="187" t="s">
        <v>6394</v>
      </c>
      <c r="V465" s="187">
        <v>10637</v>
      </c>
      <c r="W465" s="186">
        <v>1880.082026</v>
      </c>
      <c r="X465" s="186">
        <f t="shared" si="103"/>
        <v>19998432.510561999</v>
      </c>
      <c r="Y465" s="260" t="s">
        <v>6395</v>
      </c>
      <c r="Z465" t="s">
        <v>25</v>
      </c>
      <c r="AI465" s="20">
        <v>174</v>
      </c>
      <c r="AJ465" s="20" t="s">
        <v>5718</v>
      </c>
      <c r="AK465" s="115">
        <v>330000</v>
      </c>
      <c r="AL465" s="20">
        <v>0</v>
      </c>
      <c r="AM465" s="20">
        <f t="shared" si="118"/>
        <v>119</v>
      </c>
      <c r="AN465" s="20">
        <f t="shared" si="119"/>
        <v>39270000</v>
      </c>
      <c r="AO465" s="20"/>
      <c r="AS465" t="s">
        <v>25</v>
      </c>
    </row>
    <row r="466" spans="18:46">
      <c r="R466" s="97" t="s">
        <v>5680</v>
      </c>
      <c r="S466" s="93">
        <v>11538335.631417999</v>
      </c>
      <c r="U466" s="19" t="s">
        <v>6400</v>
      </c>
      <c r="V466" s="19">
        <v>306</v>
      </c>
      <c r="W466" s="115">
        <v>1831.8117119999999</v>
      </c>
      <c r="X466" s="115">
        <f t="shared" si="103"/>
        <v>560534.38387200003</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5688</v>
      </c>
      <c r="S467" s="93">
        <v>12429517.767776001</v>
      </c>
      <c r="U467" s="19" t="s">
        <v>6402</v>
      </c>
      <c r="V467" s="19">
        <v>325</v>
      </c>
      <c r="W467" s="115">
        <v>1789.1845169999999</v>
      </c>
      <c r="X467" s="115">
        <f t="shared" si="103"/>
        <v>581484.96802499995</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c r="R468" s="97" t="s">
        <v>5690</v>
      </c>
      <c r="S468" s="93">
        <v>5031176.5087869996</v>
      </c>
      <c r="U468" s="19" t="s">
        <v>6404</v>
      </c>
      <c r="V468" s="19">
        <v>1154</v>
      </c>
      <c r="W468" s="115">
        <v>1851.788857</v>
      </c>
      <c r="X468" s="115">
        <f t="shared" si="103"/>
        <v>2136964.3409779998</v>
      </c>
      <c r="Y468" s="261" t="s">
        <v>5103</v>
      </c>
      <c r="AA468" t="s">
        <v>25</v>
      </c>
      <c r="AI468" s="147">
        <v>177</v>
      </c>
      <c r="AJ468" s="147" t="s">
        <v>5747</v>
      </c>
      <c r="AK468" s="186">
        <v>-15000000</v>
      </c>
      <c r="AL468" s="147">
        <v>65</v>
      </c>
      <c r="AM468" s="147">
        <f t="shared" si="120"/>
        <v>93</v>
      </c>
      <c r="AN468" s="147">
        <f t="shared" si="121"/>
        <v>-1395000000</v>
      </c>
      <c r="AO468" s="147" t="s">
        <v>5748</v>
      </c>
    </row>
    <row r="469" spans="18:46" ht="30">
      <c r="R469" s="97" t="s">
        <v>5694</v>
      </c>
      <c r="S469" s="93">
        <v>6822803.9080700008</v>
      </c>
      <c r="U469" s="19" t="s">
        <v>6404</v>
      </c>
      <c r="V469" s="19">
        <v>3240</v>
      </c>
      <c r="W469" s="115">
        <v>1851.788857</v>
      </c>
      <c r="X469" s="115">
        <f t="shared" si="103"/>
        <v>5999795.8966800002</v>
      </c>
      <c r="Y469" s="261" t="s">
        <v>6405</v>
      </c>
      <c r="AB469" t="s">
        <v>25</v>
      </c>
      <c r="AI469" s="147">
        <v>178</v>
      </c>
      <c r="AJ469" s="147" t="s">
        <v>5808</v>
      </c>
      <c r="AK469" s="186">
        <v>33833075</v>
      </c>
      <c r="AL469" s="147">
        <v>0</v>
      </c>
      <c r="AM469" s="147">
        <f t="shared" si="120"/>
        <v>28</v>
      </c>
      <c r="AN469" s="147">
        <f t="shared" si="121"/>
        <v>947326100</v>
      </c>
      <c r="AO469" s="147" t="s">
        <v>5812</v>
      </c>
    </row>
    <row r="470" spans="18:46">
      <c r="R470" s="97" t="s">
        <v>5703</v>
      </c>
      <c r="S470" s="93">
        <v>330889.73324399994</v>
      </c>
      <c r="U470" s="19" t="s">
        <v>6404</v>
      </c>
      <c r="V470" s="19">
        <v>-3240</v>
      </c>
      <c r="W470" s="115">
        <v>1851.788857</v>
      </c>
      <c r="X470" s="115">
        <f t="shared" si="103"/>
        <v>-5999795.8966800002</v>
      </c>
      <c r="Y470" s="261" t="s">
        <v>6406</v>
      </c>
      <c r="AA470" t="s">
        <v>25</v>
      </c>
      <c r="AI470" s="20">
        <v>197</v>
      </c>
      <c r="AJ470" s="20" t="s">
        <v>5808</v>
      </c>
      <c r="AK470" s="115">
        <v>20033075</v>
      </c>
      <c r="AL470" s="20">
        <v>28</v>
      </c>
      <c r="AM470" s="20">
        <f t="shared" si="120"/>
        <v>28</v>
      </c>
      <c r="AN470" s="20">
        <f t="shared" si="121"/>
        <v>560926100</v>
      </c>
      <c r="AO470" s="20" t="s">
        <v>5812</v>
      </c>
    </row>
    <row r="471" spans="18:46">
      <c r="R471" s="97" t="s">
        <v>5704</v>
      </c>
      <c r="S471" s="93">
        <v>6610318.1610199995</v>
      </c>
      <c r="U471" s="19" t="s">
        <v>6407</v>
      </c>
      <c r="V471" s="19">
        <v>330</v>
      </c>
      <c r="W471" s="115">
        <v>1799.34311</v>
      </c>
      <c r="X471" s="115">
        <f t="shared" si="103"/>
        <v>593783.22629999998</v>
      </c>
      <c r="Y471" s="261" t="s">
        <v>5103</v>
      </c>
      <c r="AB471" t="s">
        <v>25</v>
      </c>
      <c r="AI471" s="147">
        <v>198</v>
      </c>
      <c r="AJ471" s="147" t="s">
        <v>5826</v>
      </c>
      <c r="AK471" s="186">
        <v>-22520813.151772</v>
      </c>
      <c r="AL471" s="147">
        <v>0</v>
      </c>
      <c r="AM471" s="147">
        <f>AL471+AM487</f>
        <v>0</v>
      </c>
      <c r="AN471" s="147">
        <f t="shared" si="121"/>
        <v>0</v>
      </c>
      <c r="AO471" s="147" t="s">
        <v>5834</v>
      </c>
    </row>
    <row r="472" spans="18:46">
      <c r="R472" s="97" t="s">
        <v>5706</v>
      </c>
      <c r="S472" s="93">
        <v>710713.17725199996</v>
      </c>
      <c r="U472" s="19" t="s">
        <v>6411</v>
      </c>
      <c r="V472" s="19">
        <v>266</v>
      </c>
      <c r="W472" s="115">
        <v>1764.9246700000001</v>
      </c>
      <c r="X472" s="115">
        <f t="shared" si="103"/>
        <v>469469.96222000004</v>
      </c>
      <c r="Y472" s="261" t="s">
        <v>5103</v>
      </c>
      <c r="Z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5709</v>
      </c>
      <c r="S473" s="93">
        <v>81025</v>
      </c>
      <c r="U473" s="187" t="s">
        <v>6425</v>
      </c>
      <c r="V473" s="187">
        <v>-10637</v>
      </c>
      <c r="W473" s="186">
        <v>1739.5916549999999</v>
      </c>
      <c r="X473" s="186">
        <f t="shared" si="103"/>
        <v>-18504036.434234999</v>
      </c>
      <c r="Y473" s="260" t="s">
        <v>6428</v>
      </c>
      <c r="Z473" t="s">
        <v>25</v>
      </c>
      <c r="AB473" t="s">
        <v>25</v>
      </c>
      <c r="AI473" s="20">
        <v>200</v>
      </c>
      <c r="AJ473" s="20" t="s">
        <v>5826</v>
      </c>
      <c r="AK473" s="115">
        <v>50000000</v>
      </c>
      <c r="AL473" s="20">
        <v>1</v>
      </c>
      <c r="AM473" s="20">
        <f t="shared" si="122"/>
        <v>151</v>
      </c>
      <c r="AN473" s="20">
        <f t="shared" si="123"/>
        <v>7550000000</v>
      </c>
      <c r="AO473" s="20" t="s">
        <v>5836</v>
      </c>
    </row>
    <row r="474" spans="18:46">
      <c r="R474" s="97" t="s">
        <v>5710</v>
      </c>
      <c r="S474" s="93">
        <v>219696.613128</v>
      </c>
      <c r="U474" s="19" t="s">
        <v>6425</v>
      </c>
      <c r="V474" s="19">
        <v>10637</v>
      </c>
      <c r="W474" s="115">
        <v>1739.5916549999999</v>
      </c>
      <c r="X474" s="115">
        <f t="shared" si="103"/>
        <v>18504036.434234999</v>
      </c>
      <c r="Y474" s="261" t="s">
        <v>6429</v>
      </c>
      <c r="AB474" t="s">
        <v>25</v>
      </c>
      <c r="AI474" s="20">
        <v>201</v>
      </c>
      <c r="AJ474" s="20" t="s">
        <v>5842</v>
      </c>
      <c r="AK474" s="115">
        <v>50000000</v>
      </c>
      <c r="AL474" s="20">
        <v>8</v>
      </c>
      <c r="AM474" s="20">
        <f t="shared" si="122"/>
        <v>150</v>
      </c>
      <c r="AN474" s="20">
        <f t="shared" si="123"/>
        <v>7500000000</v>
      </c>
      <c r="AO474" s="20" t="s">
        <v>5836</v>
      </c>
    </row>
    <row r="475" spans="18:46" ht="30">
      <c r="R475" s="97" t="s">
        <v>5711</v>
      </c>
      <c r="S475" s="93">
        <v>6035472.4070199998</v>
      </c>
      <c r="U475" s="19" t="s">
        <v>6453</v>
      </c>
      <c r="V475" s="19">
        <v>39478</v>
      </c>
      <c r="W475" s="115">
        <v>1873.903047</v>
      </c>
      <c r="X475" s="115">
        <f t="shared" si="103"/>
        <v>73977944.489465997</v>
      </c>
      <c r="Y475" s="261" t="s">
        <v>6454</v>
      </c>
      <c r="AI475" s="20">
        <v>202</v>
      </c>
      <c r="AJ475" s="20" t="s">
        <v>6389</v>
      </c>
      <c r="AK475" s="115">
        <v>30000000</v>
      </c>
      <c r="AL475" s="20">
        <v>2</v>
      </c>
      <c r="AM475" s="20">
        <f t="shared" si="122"/>
        <v>142</v>
      </c>
      <c r="AN475" s="20">
        <f t="shared" si="123"/>
        <v>4260000000</v>
      </c>
      <c r="AO475" s="20" t="s">
        <v>6390</v>
      </c>
    </row>
    <row r="476" spans="18:46">
      <c r="R476" s="97" t="s">
        <v>5712</v>
      </c>
      <c r="S476" s="93">
        <v>984486.34963200008</v>
      </c>
      <c r="U476" s="19" t="s">
        <v>6458</v>
      </c>
      <c r="V476" s="19">
        <v>283</v>
      </c>
      <c r="W476" s="115">
        <v>2014.7222959999999</v>
      </c>
      <c r="X476" s="115">
        <f t="shared" si="103"/>
        <v>570166.40976800001</v>
      </c>
      <c r="Y476" s="261" t="s">
        <v>6459</v>
      </c>
      <c r="Z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5722</v>
      </c>
      <c r="S477" s="93">
        <v>2143469.938015</v>
      </c>
      <c r="U477" s="19" t="s">
        <v>6461</v>
      </c>
      <c r="V477" s="19">
        <v>1704</v>
      </c>
      <c r="W477" s="115">
        <v>2104.0605820000001</v>
      </c>
      <c r="X477" s="115">
        <f t="shared" si="103"/>
        <v>3585319.2317280001</v>
      </c>
      <c r="Y477" s="261" t="s">
        <v>5103</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5723</v>
      </c>
      <c r="S478" s="93">
        <v>3085460.5177150001</v>
      </c>
      <c r="U478" s="19" t="s">
        <v>6464</v>
      </c>
      <c r="V478" s="19">
        <v>324</v>
      </c>
      <c r="W478" s="115">
        <v>2088.5824040000002</v>
      </c>
      <c r="X478" s="115">
        <f t="shared" si="103"/>
        <v>676700.69889600005</v>
      </c>
      <c r="Y478" s="261" t="s">
        <v>5103</v>
      </c>
      <c r="Z478" t="s">
        <v>25</v>
      </c>
      <c r="AA478" t="s">
        <v>25</v>
      </c>
      <c r="AB478" t="s">
        <v>25</v>
      </c>
      <c r="AI478" s="147">
        <v>205</v>
      </c>
      <c r="AJ478" s="147" t="s">
        <v>6425</v>
      </c>
      <c r="AK478" s="186">
        <v>2000000</v>
      </c>
      <c r="AL478" s="147">
        <v>110</v>
      </c>
      <c r="AM478" s="147">
        <f t="shared" si="124"/>
        <v>111</v>
      </c>
      <c r="AN478" s="147">
        <f t="shared" si="125"/>
        <v>222000000</v>
      </c>
      <c r="AO478" s="147" t="s">
        <v>6427</v>
      </c>
      <c r="AT478" t="s">
        <v>25</v>
      </c>
    </row>
    <row r="479" spans="18:46">
      <c r="R479" s="97" t="s">
        <v>5724</v>
      </c>
      <c r="S479" s="93">
        <v>8261456.790906</v>
      </c>
      <c r="U479" s="19" t="s">
        <v>6472</v>
      </c>
      <c r="V479" s="19">
        <v>538</v>
      </c>
      <c r="W479" s="115">
        <v>2055.3485930000002</v>
      </c>
      <c r="X479" s="115">
        <f t="shared" si="103"/>
        <v>1105777.5430340001</v>
      </c>
      <c r="Y479" s="261" t="s">
        <v>5103</v>
      </c>
      <c r="Z479" t="s">
        <v>25</v>
      </c>
      <c r="AI479" s="147">
        <v>206</v>
      </c>
      <c r="AJ479" s="147" t="s">
        <v>6651</v>
      </c>
      <c r="AK479" s="186">
        <v>5082711</v>
      </c>
      <c r="AL479" s="147">
        <v>1</v>
      </c>
      <c r="AM479" s="147">
        <f t="shared" si="124"/>
        <v>1</v>
      </c>
      <c r="AN479" s="147">
        <f t="shared" si="125"/>
        <v>5082711</v>
      </c>
      <c r="AO479" s="147" t="s">
        <v>6653</v>
      </c>
    </row>
    <row r="480" spans="18:46">
      <c r="R480" s="97" t="s">
        <v>5728</v>
      </c>
      <c r="S480" s="93">
        <v>6572373.7593120001</v>
      </c>
      <c r="U480" s="19" t="s">
        <v>6476</v>
      </c>
      <c r="V480" s="19">
        <v>1031</v>
      </c>
      <c r="W480" s="115">
        <v>2245.620621</v>
      </c>
      <c r="X480" s="115">
        <f t="shared" si="103"/>
        <v>2315234.8602510002</v>
      </c>
      <c r="Y480" s="261" t="s">
        <v>5103</v>
      </c>
      <c r="Z480" t="s">
        <v>25</v>
      </c>
      <c r="AB480" t="s">
        <v>25</v>
      </c>
      <c r="AI480" s="147"/>
      <c r="AJ480" s="147"/>
      <c r="AK480" s="186"/>
      <c r="AL480" s="147"/>
      <c r="AM480" s="147">
        <f t="shared" si="124"/>
        <v>0</v>
      </c>
      <c r="AN480" s="147">
        <f t="shared" si="125"/>
        <v>0</v>
      </c>
      <c r="AO480" s="147"/>
    </row>
    <row r="481" spans="18:46">
      <c r="R481" s="97" t="s">
        <v>5729</v>
      </c>
      <c r="S481" s="93">
        <v>2893243.5730909999</v>
      </c>
      <c r="U481" s="19" t="s">
        <v>6478</v>
      </c>
      <c r="V481" s="19">
        <v>1804</v>
      </c>
      <c r="W481" s="115">
        <v>2292.882846</v>
      </c>
      <c r="X481" s="115">
        <f t="shared" si="103"/>
        <v>4136360.6541840001</v>
      </c>
      <c r="Y481" s="261" t="s">
        <v>5103</v>
      </c>
      <c r="AB481" t="s">
        <v>25</v>
      </c>
      <c r="AI481" s="147"/>
      <c r="AJ481" s="147"/>
      <c r="AK481" s="186"/>
      <c r="AL481" s="147"/>
      <c r="AM481" s="147">
        <f t="shared" si="124"/>
        <v>0</v>
      </c>
      <c r="AN481" s="147">
        <f t="shared" si="125"/>
        <v>0</v>
      </c>
      <c r="AO481" s="147"/>
    </row>
    <row r="482" spans="18:46">
      <c r="R482" s="97" t="s">
        <v>5734</v>
      </c>
      <c r="S482" s="93">
        <v>94992058.939007998</v>
      </c>
      <c r="U482" s="19" t="s">
        <v>6480</v>
      </c>
      <c r="V482" s="19">
        <v>1348</v>
      </c>
      <c r="W482" s="115">
        <v>2252.0137020000002</v>
      </c>
      <c r="X482" s="115">
        <f t="shared" si="103"/>
        <v>3035714.4702960001</v>
      </c>
      <c r="Y482" s="261" t="s">
        <v>5103</v>
      </c>
      <c r="AI482" s="147"/>
      <c r="AJ482" s="147"/>
      <c r="AK482" s="186"/>
      <c r="AL482" s="147"/>
      <c r="AM482" s="147">
        <f t="shared" si="124"/>
        <v>0</v>
      </c>
      <c r="AN482" s="147">
        <f t="shared" si="125"/>
        <v>0</v>
      </c>
      <c r="AO482" s="147"/>
    </row>
    <row r="483" spans="18:46">
      <c r="R483" s="97" t="s">
        <v>5739</v>
      </c>
      <c r="S483" s="93">
        <v>275021.925965</v>
      </c>
      <c r="U483" s="19" t="s">
        <v>6488</v>
      </c>
      <c r="V483" s="19">
        <v>-76536</v>
      </c>
      <c r="W483" s="115">
        <v>2350.6086869999999</v>
      </c>
      <c r="X483" s="115">
        <f t="shared" si="103"/>
        <v>-179906186.46823201</v>
      </c>
      <c r="Y483" s="261" t="s">
        <v>6491</v>
      </c>
      <c r="AI483" s="147"/>
      <c r="AJ483" s="147"/>
      <c r="AK483" s="186"/>
      <c r="AL483" s="147"/>
      <c r="AM483" s="147">
        <f t="shared" si="124"/>
        <v>0</v>
      </c>
      <c r="AN483" s="147">
        <f t="shared" si="125"/>
        <v>0</v>
      </c>
      <c r="AO483" s="147"/>
    </row>
    <row r="484" spans="18:46">
      <c r="R484" s="97" t="s">
        <v>5749</v>
      </c>
      <c r="S484" s="93">
        <v>327451.9203</v>
      </c>
      <c r="U484" s="19" t="s">
        <v>6494</v>
      </c>
      <c r="V484" s="19">
        <v>145</v>
      </c>
      <c r="W484" s="115">
        <v>2379.7882030000001</v>
      </c>
      <c r="X484" s="115">
        <f t="shared" si="103"/>
        <v>345069.28943499998</v>
      </c>
      <c r="Y484" s="261" t="s">
        <v>5103</v>
      </c>
      <c r="Z484" t="s">
        <v>25</v>
      </c>
      <c r="AB484" t="s">
        <v>25</v>
      </c>
      <c r="AI484" s="20"/>
      <c r="AJ484" s="20"/>
      <c r="AK484" s="115"/>
      <c r="AL484" s="20"/>
      <c r="AM484" s="20">
        <f t="shared" si="122"/>
        <v>0</v>
      </c>
      <c r="AN484" s="20">
        <f t="shared" si="123"/>
        <v>0</v>
      </c>
      <c r="AO484" s="20"/>
    </row>
    <row r="485" spans="18:46">
      <c r="R485" s="97" t="s">
        <v>5758</v>
      </c>
      <c r="S485" s="93">
        <v>260081.94096800001</v>
      </c>
      <c r="U485" s="187" t="s">
        <v>6494</v>
      </c>
      <c r="V485" s="187">
        <v>55</v>
      </c>
      <c r="W485" s="186">
        <v>2379.7882030000001</v>
      </c>
      <c r="X485" s="186">
        <f t="shared" si="103"/>
        <v>130888.351165</v>
      </c>
      <c r="Y485" s="260" t="s">
        <v>6580</v>
      </c>
      <c r="AA485" t="s">
        <v>25</v>
      </c>
      <c r="AI485" s="20"/>
      <c r="AJ485" s="20"/>
      <c r="AK485" s="115"/>
      <c r="AL485" s="20"/>
      <c r="AM485" s="20">
        <f t="shared" si="122"/>
        <v>0</v>
      </c>
      <c r="AN485" s="20">
        <f t="shared" si="123"/>
        <v>0</v>
      </c>
      <c r="AO485" s="20"/>
    </row>
    <row r="486" spans="18:46">
      <c r="R486" s="97" t="s">
        <v>5759</v>
      </c>
      <c r="S486" s="93">
        <v>2909284.5308940001</v>
      </c>
      <c r="U486" s="19" t="s">
        <v>6494</v>
      </c>
      <c r="V486" s="19">
        <v>53</v>
      </c>
      <c r="W486" s="115">
        <v>2379.7882030000001</v>
      </c>
      <c r="X486" s="115">
        <f t="shared" si="103"/>
        <v>126128.77475900001</v>
      </c>
      <c r="Y486" s="261" t="s">
        <v>6581</v>
      </c>
      <c r="AA486" t="s">
        <v>25</v>
      </c>
      <c r="AI486" s="20"/>
      <c r="AJ486" s="20"/>
      <c r="AK486" s="115"/>
      <c r="AL486" s="20"/>
      <c r="AM486" s="20">
        <f t="shared" si="122"/>
        <v>0</v>
      </c>
      <c r="AN486" s="20">
        <f t="shared" si="123"/>
        <v>0</v>
      </c>
      <c r="AO486" s="20"/>
    </row>
    <row r="487" spans="18:46">
      <c r="R487" s="97" t="s">
        <v>5760</v>
      </c>
      <c r="S487" s="93">
        <v>37723205.094084002</v>
      </c>
      <c r="U487" s="19" t="s">
        <v>6586</v>
      </c>
      <c r="V487" s="19">
        <v>243</v>
      </c>
      <c r="W487" s="115">
        <v>2336.5653440000001</v>
      </c>
      <c r="X487" s="115">
        <f t="shared" si="103"/>
        <v>567785.37859199999</v>
      </c>
      <c r="Y487" s="261" t="s">
        <v>5103</v>
      </c>
      <c r="AI487" s="97"/>
      <c r="AJ487" s="97"/>
      <c r="AK487" s="115"/>
      <c r="AL487" s="97"/>
      <c r="AM487" s="20">
        <f t="shared" si="122"/>
        <v>0</v>
      </c>
      <c r="AN487" s="20">
        <f t="shared" si="123"/>
        <v>0</v>
      </c>
      <c r="AO487" s="20"/>
    </row>
    <row r="488" spans="18:46">
      <c r="R488" s="97" t="s">
        <v>5761</v>
      </c>
      <c r="S488" s="93">
        <v>1500094.75168</v>
      </c>
      <c r="U488" s="19" t="s">
        <v>6597</v>
      </c>
      <c r="V488" s="19">
        <v>81</v>
      </c>
      <c r="W488" s="115">
        <v>2341.77675</v>
      </c>
      <c r="X488" s="115">
        <f t="shared" si="103"/>
        <v>189683.91675</v>
      </c>
      <c r="Y488" s="261" t="s">
        <v>5103</v>
      </c>
      <c r="Z488" t="s">
        <v>25</v>
      </c>
      <c r="AI488" s="97"/>
      <c r="AJ488" s="97"/>
      <c r="AK488" s="115"/>
      <c r="AL488" s="97"/>
      <c r="AM488" s="20">
        <f t="shared" si="118"/>
        <v>0</v>
      </c>
      <c r="AN488" s="20">
        <f t="shared" si="119"/>
        <v>0</v>
      </c>
      <c r="AO488" s="97"/>
    </row>
    <row r="489" spans="18:46">
      <c r="R489" s="97" t="s">
        <v>5763</v>
      </c>
      <c r="S489" s="93">
        <v>7230628.4378079996</v>
      </c>
      <c r="U489" s="187" t="s">
        <v>6598</v>
      </c>
      <c r="V489" s="187">
        <v>21767</v>
      </c>
      <c r="W489" s="186">
        <v>2297.060872</v>
      </c>
      <c r="X489" s="186">
        <f t="shared" si="103"/>
        <v>50000124.000823997</v>
      </c>
      <c r="Y489" s="260" t="s">
        <v>6600</v>
      </c>
      <c r="AI489" s="97"/>
      <c r="AJ489" s="97"/>
      <c r="AK489" s="93">
        <f>SUM(AK292:AK488)</f>
        <v>206875387.84822798</v>
      </c>
      <c r="AL489" s="97"/>
      <c r="AM489" s="97"/>
      <c r="AN489" s="97">
        <f>SUM(AN292:AN488)</f>
        <v>218939463030</v>
      </c>
      <c r="AO489" s="93">
        <f>AN489*AO278/31</f>
        <v>117711742.91358097</v>
      </c>
    </row>
    <row r="490" spans="18:46">
      <c r="R490" s="97" t="s">
        <v>5764</v>
      </c>
      <c r="S490" s="93">
        <v>29767389.390390001</v>
      </c>
      <c r="U490" s="19" t="s">
        <v>6598</v>
      </c>
      <c r="V490" s="19">
        <v>4353</v>
      </c>
      <c r="W490" s="115">
        <v>2297.060872</v>
      </c>
      <c r="X490" s="115">
        <f t="shared" si="103"/>
        <v>9999105.9758160003</v>
      </c>
      <c r="Y490" s="261" t="s">
        <v>6601</v>
      </c>
      <c r="AA490" t="s">
        <v>25</v>
      </c>
      <c r="AC490" t="s">
        <v>25</v>
      </c>
      <c r="AK490" t="s">
        <v>4041</v>
      </c>
      <c r="AN490" t="s">
        <v>284</v>
      </c>
      <c r="AO490" t="s">
        <v>926</v>
      </c>
    </row>
    <row r="491" spans="18:46">
      <c r="R491" s="97" t="s">
        <v>5766</v>
      </c>
      <c r="S491" s="93">
        <v>151560.25597</v>
      </c>
      <c r="U491" s="19" t="s">
        <v>6598</v>
      </c>
      <c r="V491" s="19">
        <v>226</v>
      </c>
      <c r="W491" s="115">
        <v>2297.060872</v>
      </c>
      <c r="X491" s="115">
        <f t="shared" si="103"/>
        <v>519135.75707200001</v>
      </c>
      <c r="Y491" s="261" t="s">
        <v>5103</v>
      </c>
      <c r="AB491" t="s">
        <v>25</v>
      </c>
      <c r="AT491" t="s">
        <v>25</v>
      </c>
    </row>
    <row r="492" spans="18:46">
      <c r="R492" s="97" t="s">
        <v>5769</v>
      </c>
      <c r="S492" s="93">
        <v>481318.88078800001</v>
      </c>
      <c r="U492" s="19" t="s">
        <v>6605</v>
      </c>
      <c r="V492" s="19">
        <v>1416</v>
      </c>
      <c r="W492" s="115">
        <v>2405.6595360000001</v>
      </c>
      <c r="X492" s="115">
        <f t="shared" si="103"/>
        <v>3406413.9029760002</v>
      </c>
      <c r="Y492" s="261" t="s">
        <v>5103</v>
      </c>
      <c r="AA492" t="s">
        <v>25</v>
      </c>
      <c r="AJ492" t="s">
        <v>4043</v>
      </c>
      <c r="AK492" s="112">
        <f>AK489+AO489</f>
        <v>324587130.76180893</v>
      </c>
      <c r="AN492" t="s">
        <v>25</v>
      </c>
    </row>
    <row r="493" spans="18:46">
      <c r="R493" s="97" t="s">
        <v>5781</v>
      </c>
      <c r="S493" s="93">
        <v>146277.56820000001</v>
      </c>
      <c r="U493" s="19" t="s">
        <v>6607</v>
      </c>
      <c r="V493" s="19">
        <v>172</v>
      </c>
      <c r="W493" s="115">
        <v>2529.2810939999999</v>
      </c>
      <c r="X493" s="115">
        <f t="shared" si="103"/>
        <v>435036.348168</v>
      </c>
      <c r="Y493" s="261" t="s">
        <v>5103</v>
      </c>
      <c r="AA493" t="s">
        <v>25</v>
      </c>
      <c r="AJ493" t="s">
        <v>4046</v>
      </c>
      <c r="AK493" s="112">
        <f>SUM(N20:N33)</f>
        <v>4681585999</v>
      </c>
    </row>
    <row r="494" spans="18:46">
      <c r="R494" s="97" t="s">
        <v>5784</v>
      </c>
      <c r="S494" s="93">
        <v>424693.40162399999</v>
      </c>
      <c r="U494" s="19" t="s">
        <v>6617</v>
      </c>
      <c r="V494" s="19">
        <v>-3909</v>
      </c>
      <c r="W494" s="115">
        <v>2881.8852230000002</v>
      </c>
      <c r="X494" s="115">
        <f>V494*W494</f>
        <v>-11265289.336707002</v>
      </c>
      <c r="Y494" s="261" t="s">
        <v>6618</v>
      </c>
      <c r="AJ494" t="s">
        <v>4116</v>
      </c>
      <c r="AK494" s="112">
        <f>AK493-AK489</f>
        <v>4474710611.1517715</v>
      </c>
    </row>
    <row r="495" spans="18:46">
      <c r="R495" s="97" t="s">
        <v>5786</v>
      </c>
      <c r="S495" s="93">
        <v>558320.40202399995</v>
      </c>
      <c r="U495" s="187" t="s">
        <v>6617</v>
      </c>
      <c r="V495" s="187">
        <v>-932</v>
      </c>
      <c r="W495" s="186">
        <v>2881.8852230000002</v>
      </c>
      <c r="X495" s="186">
        <f t="shared" si="103"/>
        <v>-2685917.0278360001</v>
      </c>
      <c r="Y495" s="260" t="s">
        <v>6619</v>
      </c>
      <c r="AB495" t="s">
        <v>25</v>
      </c>
      <c r="AJ495" t="s">
        <v>926</v>
      </c>
      <c r="AK495" s="112">
        <f>AO489</f>
        <v>117711742.91358097</v>
      </c>
    </row>
    <row r="496" spans="18:46">
      <c r="R496" s="97" t="s">
        <v>5808</v>
      </c>
      <c r="S496" s="93">
        <v>207642.22201140001</v>
      </c>
      <c r="U496" s="19" t="s">
        <v>6630</v>
      </c>
      <c r="V496" s="19">
        <v>33</v>
      </c>
      <c r="W496" s="115">
        <v>2905.0202519999998</v>
      </c>
      <c r="X496" s="115">
        <f t="shared" si="103"/>
        <v>95865.668315999996</v>
      </c>
      <c r="Y496" s="261" t="s">
        <v>4406</v>
      </c>
      <c r="AC496" t="s">
        <v>25</v>
      </c>
      <c r="AJ496" t="s">
        <v>4047</v>
      </c>
      <c r="AK496" s="112">
        <f>AK494-AK495</f>
        <v>4356998868.2381907</v>
      </c>
      <c r="AN496" t="s">
        <v>25</v>
      </c>
      <c r="AO496" t="s">
        <v>25</v>
      </c>
    </row>
    <row r="497" spans="18:41">
      <c r="R497" s="97" t="s">
        <v>5808</v>
      </c>
      <c r="S497" s="93">
        <v>33832510.64875</v>
      </c>
      <c r="U497" s="187" t="s">
        <v>6651</v>
      </c>
      <c r="V497" s="187">
        <v>10421</v>
      </c>
      <c r="W497" s="186">
        <v>2780.2819920000002</v>
      </c>
      <c r="X497" s="186">
        <f t="shared" si="103"/>
        <v>28973318.638632003</v>
      </c>
      <c r="Y497" s="260" t="s">
        <v>6654</v>
      </c>
      <c r="AM497" t="s">
        <v>25</v>
      </c>
      <c r="AN497" t="s">
        <v>25</v>
      </c>
      <c r="AO497" t="s">
        <v>25</v>
      </c>
    </row>
    <row r="498" spans="18:41">
      <c r="R498" s="97" t="s">
        <v>5819</v>
      </c>
      <c r="S498" s="93">
        <v>637977.33504399995</v>
      </c>
      <c r="U498" s="19" t="s">
        <v>6651</v>
      </c>
      <c r="V498" s="19">
        <v>835</v>
      </c>
      <c r="W498" s="115">
        <v>2780.2819920000002</v>
      </c>
      <c r="X498" s="115">
        <f t="shared" si="103"/>
        <v>2321535.4633200001</v>
      </c>
      <c r="Y498" s="261" t="s">
        <v>5103</v>
      </c>
    </row>
    <row r="499" spans="18:41">
      <c r="R499" s="97" t="s">
        <v>5820</v>
      </c>
      <c r="S499" s="93">
        <v>466552.25632400002</v>
      </c>
      <c r="U499" s="19" t="s">
        <v>6981</v>
      </c>
      <c r="V499" s="19">
        <v>410</v>
      </c>
      <c r="W499" s="115">
        <v>2678.4068379999999</v>
      </c>
      <c r="X499" s="115">
        <f t="shared" si="103"/>
        <v>1098146.8035800001</v>
      </c>
      <c r="Y499" s="261" t="s">
        <v>5103</v>
      </c>
      <c r="AC499" t="s">
        <v>25</v>
      </c>
    </row>
    <row r="500" spans="18:41">
      <c r="R500" s="97" t="s">
        <v>5821</v>
      </c>
      <c r="S500" s="93">
        <v>149316.98805000001</v>
      </c>
      <c r="U500" s="19" t="s">
        <v>6987</v>
      </c>
      <c r="V500" s="19">
        <v>201</v>
      </c>
      <c r="W500" s="115">
        <v>2688.6794049999999</v>
      </c>
      <c r="X500" s="115">
        <f t="shared" si="103"/>
        <v>540424.560405</v>
      </c>
      <c r="Y500" s="261" t="s">
        <v>5103</v>
      </c>
      <c r="AA500" t="s">
        <v>25</v>
      </c>
      <c r="AO500" t="s">
        <v>25</v>
      </c>
    </row>
    <row r="501" spans="18:41">
      <c r="R501" s="97" t="s">
        <v>5821</v>
      </c>
      <c r="S501" s="93">
        <v>189134.85153000001</v>
      </c>
      <c r="U501" s="19" t="s">
        <v>6989</v>
      </c>
      <c r="V501" s="19">
        <v>1133</v>
      </c>
      <c r="W501" s="115">
        <v>2455.1740869999999</v>
      </c>
      <c r="X501" s="115">
        <f t="shared" si="103"/>
        <v>2781712.2405709997</v>
      </c>
      <c r="Y501" s="261" t="s">
        <v>5103</v>
      </c>
      <c r="AA501" t="s">
        <v>25</v>
      </c>
      <c r="AB501" t="s">
        <v>25</v>
      </c>
      <c r="AC501" t="s">
        <v>25</v>
      </c>
      <c r="AO501" t="s">
        <v>25</v>
      </c>
    </row>
    <row r="502" spans="18:41" ht="30">
      <c r="R502" s="97" t="s">
        <v>5823</v>
      </c>
      <c r="S502" s="93">
        <v>564888.82799599995</v>
      </c>
      <c r="U502" s="19" t="s">
        <v>6994</v>
      </c>
      <c r="V502" s="19">
        <v>59</v>
      </c>
      <c r="W502" s="115">
        <v>2706.4553110000002</v>
      </c>
      <c r="X502" s="115">
        <f t="shared" si="103"/>
        <v>159680.86334900002</v>
      </c>
      <c r="Y502" s="261" t="s">
        <v>6995</v>
      </c>
      <c r="Z502" t="s">
        <v>25</v>
      </c>
      <c r="AA502" t="s">
        <v>25</v>
      </c>
      <c r="AB502" t="s">
        <v>25</v>
      </c>
    </row>
    <row r="503" spans="18:41">
      <c r="R503" s="97" t="s">
        <v>5826</v>
      </c>
      <c r="S503" s="93">
        <v>8762299.2047910001</v>
      </c>
      <c r="U503" s="19" t="s">
        <v>7020</v>
      </c>
      <c r="V503" s="19">
        <v>4795</v>
      </c>
      <c r="W503" s="115">
        <v>2908.4025580000002</v>
      </c>
      <c r="X503" s="115">
        <f t="shared" si="103"/>
        <v>13945790.265610002</v>
      </c>
      <c r="Y503" s="261" t="s">
        <v>5344</v>
      </c>
    </row>
    <row r="504" spans="18:41">
      <c r="R504" s="97" t="s">
        <v>5826</v>
      </c>
      <c r="S504" s="93">
        <v>-341847876.93843603</v>
      </c>
      <c r="U504" s="19" t="s">
        <v>7022</v>
      </c>
      <c r="V504" s="19">
        <v>164</v>
      </c>
      <c r="W504" s="115">
        <v>2792.1636870000002</v>
      </c>
      <c r="X504" s="115">
        <f t="shared" si="103"/>
        <v>457914.84466800001</v>
      </c>
      <c r="Y504" s="261" t="s">
        <v>5344</v>
      </c>
    </row>
    <row r="505" spans="18:41">
      <c r="R505" s="97" t="s">
        <v>5858</v>
      </c>
      <c r="S505" s="93">
        <v>259993.58394100002</v>
      </c>
      <c r="U505" s="19" t="s">
        <v>7024</v>
      </c>
      <c r="V505" s="19">
        <v>352</v>
      </c>
      <c r="W505" s="115">
        <v>2768.6657369999998</v>
      </c>
      <c r="X505" s="115">
        <f t="shared" si="103"/>
        <v>974570.33942399989</v>
      </c>
      <c r="Y505" s="261" t="s">
        <v>5344</v>
      </c>
    </row>
    <row r="506" spans="18:41">
      <c r="R506" s="97" t="s">
        <v>5859</v>
      </c>
      <c r="S506" s="93">
        <v>269955.31205999997</v>
      </c>
      <c r="U506" s="19" t="s">
        <v>7026</v>
      </c>
      <c r="V506" s="19">
        <v>283</v>
      </c>
      <c r="W506" s="115">
        <v>2636.7439079999999</v>
      </c>
      <c r="X506" s="115">
        <f t="shared" si="103"/>
        <v>746198.52596400003</v>
      </c>
      <c r="Y506" s="261" t="s">
        <v>5344</v>
      </c>
      <c r="Z506" t="s">
        <v>25</v>
      </c>
    </row>
    <row r="507" spans="18:41">
      <c r="R507" s="97" t="s">
        <v>6400</v>
      </c>
      <c r="S507" s="93">
        <v>560534.38387200003</v>
      </c>
      <c r="U507" s="19" t="s">
        <v>7039</v>
      </c>
      <c r="V507" s="19">
        <v>154</v>
      </c>
      <c r="W507" s="115">
        <v>2702</v>
      </c>
      <c r="X507" s="115">
        <f t="shared" si="103"/>
        <v>416108</v>
      </c>
      <c r="Y507" s="261" t="s">
        <v>5344</v>
      </c>
      <c r="Z507" t="s">
        <v>25</v>
      </c>
      <c r="AA507" t="s">
        <v>25</v>
      </c>
    </row>
    <row r="508" spans="18:41">
      <c r="R508" s="97" t="s">
        <v>6402</v>
      </c>
      <c r="S508" s="93">
        <v>581484.96802499995</v>
      </c>
      <c r="U508" s="19"/>
      <c r="V508" s="19"/>
      <c r="W508" s="115"/>
      <c r="X508" s="115"/>
      <c r="Y508" s="261"/>
    </row>
    <row r="509" spans="18:41">
      <c r="R509" s="97" t="s">
        <v>6404</v>
      </c>
      <c r="S509" s="93">
        <v>2136964.3409779998</v>
      </c>
      <c r="U509" s="19"/>
      <c r="V509" s="19"/>
      <c r="W509" s="115"/>
      <c r="X509" s="115"/>
      <c r="Y509" s="261"/>
    </row>
    <row r="510" spans="18:41">
      <c r="R510" s="97" t="s">
        <v>6407</v>
      </c>
      <c r="S510" s="93">
        <v>593783.22629999998</v>
      </c>
      <c r="U510" s="19"/>
      <c r="V510" s="19"/>
      <c r="W510" s="115"/>
      <c r="X510" s="115">
        <f t="shared" si="103"/>
        <v>0</v>
      </c>
      <c r="Y510" s="261"/>
      <c r="Z510" t="s">
        <v>25</v>
      </c>
      <c r="AA510" t="s">
        <v>25</v>
      </c>
    </row>
    <row r="511" spans="18:41">
      <c r="R511" s="97" t="s">
        <v>6411</v>
      </c>
      <c r="S511" s="93">
        <v>469469.96222000004</v>
      </c>
      <c r="U511" s="19"/>
      <c r="V511" s="19"/>
      <c r="W511" s="115"/>
      <c r="X511" s="115">
        <f t="shared" si="103"/>
        <v>0</v>
      </c>
      <c r="Y511" s="261"/>
    </row>
    <row r="512" spans="18:41">
      <c r="R512" s="97" t="s">
        <v>6453</v>
      </c>
      <c r="S512" s="93">
        <v>73977944.489465997</v>
      </c>
      <c r="U512" s="97"/>
      <c r="V512" s="166"/>
      <c r="W512" s="111"/>
      <c r="X512" s="115">
        <f t="shared" si="103"/>
        <v>0</v>
      </c>
      <c r="Y512" s="97"/>
      <c r="AB512" t="s">
        <v>25</v>
      </c>
    </row>
    <row r="513" spans="15:26">
      <c r="P513" t="s">
        <v>25</v>
      </c>
      <c r="R513" s="97" t="s">
        <v>6458</v>
      </c>
      <c r="S513" s="93">
        <v>570166.40976800001</v>
      </c>
      <c r="U513" s="166"/>
      <c r="V513" s="166">
        <f>SUM(V160:V512)</f>
        <v>4322243</v>
      </c>
      <c r="W513" s="97"/>
      <c r="X513" s="97"/>
      <c r="Y513" s="97"/>
    </row>
    <row r="514" spans="15:26">
      <c r="R514" s="97" t="s">
        <v>6461</v>
      </c>
      <c r="S514" s="93">
        <v>3585319.2317280001</v>
      </c>
      <c r="U514" s="97"/>
      <c r="V514" s="97" t="s">
        <v>6</v>
      </c>
      <c r="W514" s="97"/>
      <c r="X514" s="97"/>
      <c r="Y514" s="97"/>
      <c r="Z514" t="s">
        <v>25</v>
      </c>
    </row>
    <row r="515" spans="15:26">
      <c r="R515" s="97" t="s">
        <v>6464</v>
      </c>
      <c r="S515" s="93">
        <v>676700.69889600005</v>
      </c>
      <c r="U515" s="197" t="s">
        <v>4433</v>
      </c>
    </row>
    <row r="516" spans="15:26">
      <c r="R516" s="97" t="s">
        <v>6472</v>
      </c>
      <c r="S516" s="93">
        <v>1105777.5430340001</v>
      </c>
      <c r="U516" s="196">
        <f>S176/V513</f>
        <v>2702.2181432186944</v>
      </c>
      <c r="Y516" t="s">
        <v>25</v>
      </c>
    </row>
    <row r="517" spans="15:26">
      <c r="R517" s="97" t="s">
        <v>6476</v>
      </c>
      <c r="S517" s="93">
        <v>2315234.8602510002</v>
      </c>
      <c r="X517" s="112"/>
      <c r="Z517" t="s">
        <v>25</v>
      </c>
    </row>
    <row r="518" spans="15:26">
      <c r="R518" s="97" t="s">
        <v>6478</v>
      </c>
      <c r="S518" s="93">
        <v>4136360.6541840001</v>
      </c>
      <c r="V518" s="94" t="s">
        <v>267</v>
      </c>
      <c r="W518" t="s">
        <v>4434</v>
      </c>
      <c r="Y518" t="s">
        <v>25</v>
      </c>
    </row>
    <row r="519" spans="15:26">
      <c r="R519" s="97" t="s">
        <v>6480</v>
      </c>
      <c r="S519" s="93">
        <v>3035714.4702960001</v>
      </c>
      <c r="U519" s="112"/>
      <c r="V519" s="93">
        <v>-418784</v>
      </c>
      <c r="W519">
        <f>V519/U516</f>
        <v>-154.97786551798279</v>
      </c>
      <c r="Y519" t="s">
        <v>25</v>
      </c>
    </row>
    <row r="520" spans="15:26">
      <c r="R520" s="97" t="s">
        <v>6488</v>
      </c>
      <c r="S520" s="93">
        <v>-179906186.46823201</v>
      </c>
      <c r="U520" t="s">
        <v>25</v>
      </c>
      <c r="Y520" t="s">
        <v>25</v>
      </c>
    </row>
    <row r="521" spans="15:26">
      <c r="R521" s="97" t="s">
        <v>6494</v>
      </c>
      <c r="S521" s="93">
        <v>345069.28943499998</v>
      </c>
      <c r="U521" t="s">
        <v>25</v>
      </c>
      <c r="V521" s="94" t="s">
        <v>25</v>
      </c>
      <c r="W521" s="22"/>
      <c r="X521" s="213"/>
      <c r="Y521" s="270" t="s">
        <v>25</v>
      </c>
    </row>
    <row r="522" spans="15:26">
      <c r="R522" s="97" t="s">
        <v>6586</v>
      </c>
      <c r="S522" s="93">
        <v>567785.37859199999</v>
      </c>
      <c r="W522" t="s">
        <v>25</v>
      </c>
      <c r="Y522" t="s">
        <v>25</v>
      </c>
    </row>
    <row r="523" spans="15:26">
      <c r="R523" s="97" t="s">
        <v>6597</v>
      </c>
      <c r="S523" s="93">
        <v>189683.91675</v>
      </c>
      <c r="X523" s="112"/>
      <c r="Y523" t="s">
        <v>25</v>
      </c>
    </row>
    <row r="524" spans="15:26">
      <c r="O524" s="112"/>
      <c r="R524" s="97" t="s">
        <v>6598</v>
      </c>
      <c r="S524" s="93">
        <v>10000000</v>
      </c>
      <c r="U524" s="22"/>
      <c r="W524" s="213"/>
    </row>
    <row r="525" spans="15:26">
      <c r="R525" s="97" t="s">
        <v>6598</v>
      </c>
      <c r="S525" s="93">
        <v>519135.75707200001</v>
      </c>
      <c r="U525" s="22"/>
      <c r="X525" s="270"/>
    </row>
    <row r="526" spans="15:26">
      <c r="R526" s="97" t="s">
        <v>6605</v>
      </c>
      <c r="S526" s="93">
        <v>3406413.9029760002</v>
      </c>
    </row>
    <row r="527" spans="15:26">
      <c r="R527" s="97" t="s">
        <v>6607</v>
      </c>
      <c r="S527" s="93">
        <v>435036.348168</v>
      </c>
    </row>
    <row r="528" spans="15:26">
      <c r="R528" s="97" t="s">
        <v>6651</v>
      </c>
      <c r="S528" s="93">
        <v>2321535.4633200001</v>
      </c>
      <c r="U528" s="97" t="s">
        <v>4435</v>
      </c>
      <c r="V528" s="97" t="s">
        <v>4416</v>
      </c>
      <c r="W528" s="97" t="s">
        <v>936</v>
      </c>
      <c r="X528" s="421"/>
    </row>
    <row r="529" spans="18:25">
      <c r="R529" s="97" t="s">
        <v>6981</v>
      </c>
      <c r="S529" s="93">
        <v>1098146.8035800001</v>
      </c>
      <c r="U529" s="93">
        <f>T229+S297+S545</f>
        <v>2395767863.3104019</v>
      </c>
      <c r="V529" s="93">
        <f>S176</f>
        <v>11679643454</v>
      </c>
      <c r="W529" s="93">
        <f>V529-U529</f>
        <v>9283875590.6895981</v>
      </c>
    </row>
    <row r="530" spans="18:25">
      <c r="R530" s="97" t="s">
        <v>6987</v>
      </c>
      <c r="S530" s="93">
        <v>540424.560405</v>
      </c>
      <c r="X530" s="94" t="s">
        <v>25</v>
      </c>
    </row>
    <row r="531" spans="18:25">
      <c r="R531" s="97" t="s">
        <v>6989</v>
      </c>
      <c r="S531" s="93">
        <v>2781712.2405709997</v>
      </c>
    </row>
    <row r="532" spans="18:25">
      <c r="R532" s="97" t="s">
        <v>6994</v>
      </c>
      <c r="S532" s="93">
        <v>159680.86334900002</v>
      </c>
      <c r="U532" s="112"/>
      <c r="W532" s="112"/>
    </row>
    <row r="533" spans="18:25">
      <c r="R533" s="97" t="s">
        <v>7020</v>
      </c>
      <c r="S533" s="93">
        <v>13945790.265610002</v>
      </c>
    </row>
    <row r="534" spans="18:25">
      <c r="R534" s="97" t="s">
        <v>7022</v>
      </c>
      <c r="S534" s="93">
        <v>457914.84466800001</v>
      </c>
      <c r="U534" s="112"/>
    </row>
    <row r="535" spans="18:25">
      <c r="R535" s="97" t="s">
        <v>7024</v>
      </c>
      <c r="S535" s="93">
        <v>974570.33942399989</v>
      </c>
    </row>
    <row r="536" spans="18:25">
      <c r="R536" s="97" t="s">
        <v>7026</v>
      </c>
      <c r="S536" s="93">
        <v>746198.52596400003</v>
      </c>
      <c r="U536" s="112"/>
    </row>
    <row r="537" spans="18:25">
      <c r="R537" s="97" t="s">
        <v>7039</v>
      </c>
      <c r="S537" s="93">
        <v>416108</v>
      </c>
      <c r="U537" t="s">
        <v>25</v>
      </c>
    </row>
    <row r="538" spans="18:25">
      <c r="R538" s="97"/>
      <c r="S538" s="93"/>
      <c r="U538" t="s">
        <v>25</v>
      </c>
      <c r="Y538" s="112"/>
    </row>
    <row r="539" spans="18:25">
      <c r="R539" s="97"/>
      <c r="S539" s="93"/>
      <c r="X539" s="94" t="s">
        <v>25</v>
      </c>
    </row>
    <row r="540" spans="18:25">
      <c r="R540" s="97"/>
      <c r="S540" s="93"/>
    </row>
    <row r="541" spans="18:25">
      <c r="R541" s="97"/>
      <c r="S541" s="93"/>
      <c r="U541" t="s">
        <v>25</v>
      </c>
    </row>
    <row r="542" spans="18:25">
      <c r="R542" s="97"/>
      <c r="S542" s="93"/>
      <c r="U542" s="421" t="s">
        <v>25</v>
      </c>
      <c r="V542" s="421"/>
      <c r="W542" s="421"/>
    </row>
    <row r="543" spans="18:25">
      <c r="R543" s="97" t="s">
        <v>25</v>
      </c>
      <c r="S543" s="93"/>
      <c r="U543" s="421" t="s">
        <v>25</v>
      </c>
      <c r="V543" s="421"/>
      <c r="W543" s="421"/>
      <c r="X543" s="94" t="s">
        <v>25</v>
      </c>
    </row>
    <row r="544" spans="18:25">
      <c r="R544" s="97" t="s">
        <v>25</v>
      </c>
      <c r="S544" s="97" t="s">
        <v>25</v>
      </c>
      <c r="U544" s="421"/>
      <c r="V544" s="421"/>
      <c r="W544" s="421"/>
      <c r="Y544" t="s">
        <v>25</v>
      </c>
    </row>
    <row r="545" spans="18:25">
      <c r="R545" s="97"/>
      <c r="S545" s="93">
        <f>SUM(S302:S544)</f>
        <v>2082972283.7451389</v>
      </c>
      <c r="U545" s="421"/>
      <c r="V545" s="421"/>
      <c r="W545" s="421" t="s">
        <v>25</v>
      </c>
    </row>
    <row r="546" spans="18:25">
      <c r="S546" s="97" t="s">
        <v>6</v>
      </c>
      <c r="U546" s="421"/>
      <c r="V546" s="421"/>
      <c r="W546" s="421"/>
    </row>
    <row r="547" spans="18:25">
      <c r="U547" s="421"/>
      <c r="V547" s="421"/>
      <c r="W547" s="421"/>
    </row>
    <row r="548" spans="18:25">
      <c r="R548" t="s">
        <v>25</v>
      </c>
      <c r="U548" s="421"/>
      <c r="V548" s="421"/>
      <c r="W548" s="421"/>
    </row>
    <row r="549" spans="18:25">
      <c r="R549" t="s">
        <v>25</v>
      </c>
      <c r="U549" s="421"/>
      <c r="V549" s="421"/>
      <c r="W549" s="421"/>
    </row>
    <row r="550" spans="18:25">
      <c r="R550" t="s">
        <v>25</v>
      </c>
      <c r="S550" t="s">
        <v>25</v>
      </c>
      <c r="U550" s="421"/>
      <c r="V550" s="421"/>
      <c r="W550" s="421"/>
    </row>
    <row r="551" spans="18:25">
      <c r="R551" t="s">
        <v>25</v>
      </c>
      <c r="S551" t="s">
        <v>25</v>
      </c>
      <c r="U551" s="421"/>
      <c r="V551" s="421"/>
      <c r="W551" s="421"/>
    </row>
    <row r="552" spans="18:25">
      <c r="R552" s="112"/>
      <c r="S552" t="s">
        <v>25</v>
      </c>
      <c r="U552" s="421"/>
      <c r="V552" s="421"/>
      <c r="W552" s="421"/>
    </row>
    <row r="553" spans="18:25">
      <c r="U553" s="421"/>
      <c r="V553" s="421"/>
      <c r="W553" s="421"/>
      <c r="Y553" t="s">
        <v>25</v>
      </c>
    </row>
    <row r="554" spans="18:25">
      <c r="S554" t="s">
        <v>25</v>
      </c>
      <c r="U554" s="421"/>
      <c r="V554" s="421"/>
      <c r="W554" s="421"/>
    </row>
    <row r="555" spans="18:25">
      <c r="R555" t="s">
        <v>25</v>
      </c>
      <c r="U555" s="421"/>
      <c r="V555" s="421"/>
      <c r="W555" s="421"/>
    </row>
    <row r="556" spans="18:25">
      <c r="U556" s="421"/>
      <c r="V556" s="421"/>
      <c r="W556" s="421"/>
    </row>
    <row r="558" spans="18:25">
      <c r="U558" s="94"/>
      <c r="W558" s="94"/>
    </row>
    <row r="559" spans="18:25">
      <c r="U559" s="94"/>
      <c r="W559" s="94"/>
      <c r="X559" s="112"/>
    </row>
    <row r="560" spans="18:25">
      <c r="U560" s="94"/>
      <c r="W560" s="94"/>
    </row>
    <row r="561" spans="21:23">
      <c r="U561" s="94"/>
      <c r="W561" s="94"/>
    </row>
    <row r="563" spans="21:23">
      <c r="V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
  <sheetViews>
    <sheetView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3" si="0">C1*D1*0.99114/(F1*1.0037158)</f>
        <v>4102.0133326251707</v>
      </c>
      <c r="H1" s="389">
        <f t="shared" ref="H1:H40" si="1">C1/F1</f>
        <v>1.2452219935313142</v>
      </c>
      <c r="I1" s="390">
        <f>$R$5/$R$6</f>
        <v>1.5802335052945968</v>
      </c>
      <c r="J1" s="400">
        <f t="shared" ref="J1:J40" si="2">I1/H1</f>
        <v>1.2690375800488605</v>
      </c>
      <c r="K1" s="32">
        <f t="shared" ref="K1:K41" si="3">(1/J1-1.0256)*100</f>
        <v>-23.760127110380925</v>
      </c>
      <c r="L1" s="400"/>
      <c r="M1" s="400"/>
      <c r="N1" s="400">
        <v>1</v>
      </c>
      <c r="O1" s="40"/>
      <c r="P1" s="40"/>
      <c r="Q1" s="67" t="s">
        <v>5857</v>
      </c>
      <c r="R1" s="302">
        <v>3307</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1.5802335052945968</v>
      </c>
      <c r="J2" s="400">
        <f>I2/H2</f>
        <v>1.1982968055025922</v>
      </c>
      <c r="K2" s="32">
        <f t="shared" si="3"/>
        <v>-19.108221157897709</v>
      </c>
      <c r="L2" s="400" t="s">
        <v>25</v>
      </c>
      <c r="M2" s="400"/>
      <c r="N2" s="400">
        <f>H2/H1</f>
        <v>1.059034434725542</v>
      </c>
      <c r="O2" s="40"/>
      <c r="P2" s="40"/>
      <c r="Q2" s="97" t="s">
        <v>4216</v>
      </c>
      <c r="R2" s="278">
        <v>1515</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1.5802335052945968</v>
      </c>
      <c r="J3" s="400">
        <f t="shared" si="2"/>
        <v>1.1871954182036581</v>
      </c>
      <c r="K3" s="32">
        <f t="shared" si="3"/>
        <v>-18.327868990507312</v>
      </c>
      <c r="L3" s="400"/>
      <c r="M3" s="400"/>
      <c r="N3" s="400">
        <f>H3/H2</f>
        <v>1.0093509350935093</v>
      </c>
      <c r="O3" s="40"/>
      <c r="P3" s="40"/>
      <c r="Q3" s="97" t="s">
        <v>5267</v>
      </c>
      <c r="R3" s="288">
        <v>1391</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19.207920792079207</v>
      </c>
      <c r="J4" s="32">
        <f t="shared" si="2"/>
        <v>1.2064229914241602</v>
      </c>
      <c r="K4" s="32">
        <f t="shared" si="3"/>
        <v>-19.670333016820386</v>
      </c>
      <c r="L4" s="32"/>
      <c r="M4" s="32"/>
      <c r="N4" s="402">
        <v>1</v>
      </c>
      <c r="O4" s="40"/>
      <c r="P4" s="191"/>
      <c r="Q4" s="97" t="s">
        <v>5800</v>
      </c>
      <c r="R4" s="346">
        <v>1362</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19.207920792079207</v>
      </c>
      <c r="J5" s="32">
        <f t="shared" si="2"/>
        <v>1.1885279225717107</v>
      </c>
      <c r="K5" s="32">
        <f t="shared" si="3"/>
        <v>-18.422304872381812</v>
      </c>
      <c r="L5" s="32"/>
      <c r="M5" s="32"/>
      <c r="N5" s="402">
        <f>H5/H4</f>
        <v>1.0150564984739514</v>
      </c>
      <c r="O5" s="40"/>
      <c r="P5" s="191"/>
      <c r="Q5" s="97" t="s">
        <v>4358</v>
      </c>
      <c r="R5" s="277">
        <v>29100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19.207920792079207</v>
      </c>
      <c r="J6" s="32">
        <f t="shared" si="2"/>
        <v>1.1786069883265378</v>
      </c>
      <c r="K6" s="32">
        <f t="shared" si="3"/>
        <v>-17.71407511541533</v>
      </c>
      <c r="L6" s="32"/>
      <c r="M6" s="32"/>
      <c r="N6" s="402">
        <f>H6/H5</f>
        <v>1.0084175084175087</v>
      </c>
      <c r="O6" s="40"/>
      <c r="P6" s="191"/>
      <c r="Q6" s="97" t="s">
        <v>4354</v>
      </c>
      <c r="R6" s="287">
        <v>18415</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19.207920792079207</v>
      </c>
      <c r="J7" s="32">
        <f t="shared" ref="J7:J9" si="7">I7/H7</f>
        <v>1.1746604563600058</v>
      </c>
      <c r="K7" s="32">
        <f t="shared" ref="K7:K9" si="8">(1/J7-1.0256)*100</f>
        <v>-17.429016439119536</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 t="shared" si="6"/>
        <v>19.207920792079207</v>
      </c>
      <c r="J8" s="32">
        <f t="shared" si="7"/>
        <v>1.2695636395545817</v>
      </c>
      <c r="K8" s="32">
        <f t="shared" si="8"/>
        <v>-23.792778819119022</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19.207920792079207</v>
      </c>
      <c r="J9" s="32">
        <f t="shared" si="7"/>
        <v>1.1941099327845863</v>
      </c>
      <c r="K9" s="32">
        <f t="shared" si="8"/>
        <v>-18.815616627518938</v>
      </c>
      <c r="L9" s="32"/>
      <c r="M9" s="32"/>
      <c r="N9" s="402">
        <f t="shared" si="9"/>
        <v>1.0631882414662126</v>
      </c>
      <c r="O9" s="40"/>
      <c r="P9" s="191"/>
      <c r="Q9" s="351"/>
      <c r="R9" s="351"/>
      <c r="S9" s="113"/>
      <c r="T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19.207920792079207</v>
      </c>
      <c r="J10" s="32">
        <f>I10/H10</f>
        <v>1.1755050844913435</v>
      </c>
      <c r="K10" s="32">
        <f t="shared" ref="K10" si="10">(1/J10-1.0256)*100</f>
        <v>-17.490185058900607</v>
      </c>
      <c r="L10" s="32"/>
      <c r="M10" s="32"/>
      <c r="N10" s="402">
        <f t="shared" ref="N10" si="11">H10/H9</f>
        <v>1.015827110013134</v>
      </c>
      <c r="O10" s="40"/>
      <c r="P10" s="191" t="s">
        <v>25</v>
      </c>
      <c r="Q10" s="113"/>
      <c r="R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12.155115511551156</v>
      </c>
      <c r="J11" s="400">
        <f>I11/H11</f>
        <v>1.1792124908186514</v>
      </c>
      <c r="K11" s="400">
        <f>(1/J11-1.0256)*100</f>
        <v>-17.757641834190185</v>
      </c>
      <c r="L11" s="400"/>
      <c r="M11" s="400"/>
      <c r="N11" s="400">
        <v>1</v>
      </c>
      <c r="O11" s="40"/>
      <c r="P11" s="191"/>
      <c r="Q11" s="97">
        <v>28161</v>
      </c>
      <c r="R11" s="97">
        <v>30290</v>
      </c>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12.155115511551156</v>
      </c>
      <c r="J12" s="400">
        <f t="shared" si="2"/>
        <v>1.1692336518018378</v>
      </c>
      <c r="K12" s="400">
        <f t="shared" si="3"/>
        <v>-17.033895062893698</v>
      </c>
      <c r="L12" s="400"/>
      <c r="M12" s="400"/>
      <c r="N12" s="400">
        <f t="shared" ref="N12:N20" si="13">H12/H11</f>
        <v>1.0085345123290248</v>
      </c>
      <c r="O12" s="40"/>
      <c r="P12" s="40" t="s">
        <v>25</v>
      </c>
      <c r="Q12" s="97">
        <f>Q11*R12/R11</f>
        <v>19523.968306371738</v>
      </c>
      <c r="R12" s="97">
        <v>21000</v>
      </c>
      <c r="S12" s="113"/>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12.155115511551156</v>
      </c>
      <c r="J13" s="400">
        <f t="shared" si="2"/>
        <v>1.157971331162766</v>
      </c>
      <c r="K13" s="400">
        <f t="shared" si="3"/>
        <v>-16.202076181984626</v>
      </c>
      <c r="L13" s="400"/>
      <c r="M13" s="400"/>
      <c r="N13" s="400">
        <f t="shared" si="13"/>
        <v>1.0097259062776303</v>
      </c>
      <c r="O13" s="40"/>
      <c r="P13" s="40"/>
      <c r="Q13" s="97">
        <f>Q11-Q12</f>
        <v>8637.0316936282616</v>
      </c>
      <c r="R13" s="97">
        <f>R11-R12</f>
        <v>9290</v>
      </c>
      <c r="S13" s="113"/>
      <c r="U13" t="s">
        <v>25</v>
      </c>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12.155115511551156</v>
      </c>
      <c r="J14" s="400">
        <f t="shared" si="2"/>
        <v>1.1428799294692211</v>
      </c>
      <c r="K14" s="400">
        <f t="shared" si="3"/>
        <v>-15.061744565203606</v>
      </c>
      <c r="L14" s="400"/>
      <c r="M14" s="400"/>
      <c r="N14" s="400">
        <f t="shared" si="13"/>
        <v>1.013204713202509</v>
      </c>
      <c r="O14" s="40"/>
      <c r="P14" s="40"/>
      <c r="S14" s="113"/>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12.155115511551156</v>
      </c>
      <c r="J15" s="400">
        <f t="shared" si="2"/>
        <v>1.1522091990380656</v>
      </c>
      <c r="K15" s="400">
        <f t="shared" si="3"/>
        <v>-15.770205157634498</v>
      </c>
      <c r="L15" s="400"/>
      <c r="M15" s="400" t="s">
        <v>25</v>
      </c>
      <c r="N15" s="400">
        <f t="shared" si="13"/>
        <v>0.99190314608090857</v>
      </c>
      <c r="O15" s="40"/>
      <c r="P15" s="40"/>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12.155115511551156</v>
      </c>
      <c r="J16" s="400">
        <f t="shared" si="2"/>
        <v>1.1235464102062835</v>
      </c>
      <c r="K16" s="400">
        <f t="shared" si="3"/>
        <v>-13.556110982509429</v>
      </c>
      <c r="L16" s="400"/>
      <c r="M16" s="400"/>
      <c r="N16" s="400">
        <f t="shared" si="13"/>
        <v>1.0255109967611571</v>
      </c>
      <c r="O16" s="40"/>
      <c r="P16" s="40"/>
      <c r="U16" t="s">
        <v>25</v>
      </c>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12.155115511551156</v>
      </c>
      <c r="J17" s="400">
        <f t="shared" si="2"/>
        <v>1.1019222620952052</v>
      </c>
      <c r="K17" s="400">
        <f t="shared" si="3"/>
        <v>-11.80949659347197</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12.155115511551156</v>
      </c>
      <c r="J18" s="400">
        <f t="shared" si="2"/>
        <v>1.081280026736851</v>
      </c>
      <c r="K18" s="400">
        <f t="shared" si="3"/>
        <v>-10.077019155726251</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12.155115511551156</v>
      </c>
      <c r="J19" s="400">
        <f t="shared" si="2"/>
        <v>1.0730975302458909</v>
      </c>
      <c r="K19" s="400">
        <f t="shared" si="3"/>
        <v>-9.3718254106074923</v>
      </c>
      <c r="L19" s="400"/>
      <c r="M19" s="400"/>
      <c r="N19" s="400">
        <f t="shared" si="13"/>
        <v>1.0076251191157668</v>
      </c>
      <c r="O19" s="40"/>
      <c r="P19" s="40"/>
      <c r="Q19" t="s">
        <v>6596</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12.155115511551156</v>
      </c>
      <c r="J20" s="400">
        <f>I20/H20</f>
        <v>1.0533509451287204</v>
      </c>
      <c r="K20" s="400">
        <f t="shared" si="3"/>
        <v>-7.624878460065454</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12.155115511551156</v>
      </c>
      <c r="J21" s="400">
        <f t="shared" si="2"/>
        <v>0.98814786953047207</v>
      </c>
      <c r="K21" s="400">
        <f t="shared" si="3"/>
        <v>-1.3605711660179542</v>
      </c>
      <c r="L21" s="400"/>
      <c r="M21" s="400"/>
      <c r="N21" s="400">
        <f>H21/H20</f>
        <v>1.065985140087617</v>
      </c>
      <c r="O21" s="40"/>
      <c r="P21" s="40"/>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12.155115511551156</v>
      </c>
      <c r="J22" s="400">
        <f>I22/H22</f>
        <v>0.99069638104873226</v>
      </c>
      <c r="K22" s="400">
        <f t="shared" ref="K22" si="14">(1/J22-1.0256)*100</f>
        <v>-1.620901086423765</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12.155115511551156</v>
      </c>
      <c r="J23" s="400">
        <f t="shared" ref="J23:J24" si="15">I23/H23</f>
        <v>0.97730747792438377</v>
      </c>
      <c r="K23" s="400">
        <f t="shared" ref="K23:K24" si="16">(1/J23-1.0256)*100</f>
        <v>-0.23805705080546247</v>
      </c>
      <c r="L23" s="400"/>
      <c r="M23" s="400"/>
      <c r="N23" s="400">
        <f t="shared" ref="N23:N24" si="17">H23/H22</f>
        <v>1.0136997858164187</v>
      </c>
      <c r="O23" s="40"/>
      <c r="P23" s="40"/>
      <c r="R23" s="352"/>
      <c r="T23" s="353"/>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12.155115511551156</v>
      </c>
      <c r="J24" s="400">
        <f t="shared" si="15"/>
        <v>0.96794530492959352</v>
      </c>
      <c r="K24" s="400">
        <f t="shared" si="16"/>
        <v>0.75162255833638447</v>
      </c>
      <c r="L24" s="400"/>
      <c r="M24" s="400"/>
      <c r="N24" s="400">
        <f t="shared" si="17"/>
        <v>1.0096722128276363</v>
      </c>
      <c r="O24" s="40"/>
      <c r="P24" s="40"/>
      <c r="Q24" s="94" t="s">
        <v>25</v>
      </c>
      <c r="R24" s="385"/>
      <c r="T24" s="353"/>
      <c r="U24" s="353"/>
      <c r="W24" s="353"/>
      <c r="Z24" s="353"/>
    </row>
    <row r="25" spans="1:26">
      <c r="A25" s="404" t="s">
        <v>6473</v>
      </c>
      <c r="B25" s="394" t="s">
        <v>4216</v>
      </c>
      <c r="C25" s="391">
        <v>1205</v>
      </c>
      <c r="D25" s="394">
        <v>11869</v>
      </c>
      <c r="E25" s="396" t="s">
        <v>5267</v>
      </c>
      <c r="F25" s="395">
        <v>1342.3</v>
      </c>
      <c r="G25" s="396">
        <f t="shared" ref="G25:G39" si="18">C25*D25*0.99114/(F25*1.0037158)</f>
        <v>10521.455664099438</v>
      </c>
      <c r="H25" s="396">
        <f t="shared" ref="H25:H39" si="19">C25/F25</f>
        <v>0.89771288087610823</v>
      </c>
      <c r="I25" s="397">
        <f t="shared" ref="I25:I39" si="20">$R$2/$R$3</f>
        <v>1.0891445003594535</v>
      </c>
      <c r="J25" s="400">
        <f t="shared" ref="J25:J26" si="21">I25/H25</f>
        <v>1.2132437035954311</v>
      </c>
      <c r="K25" s="400">
        <f>(1/J25-1.0256)*100</f>
        <v>-20.136328891177136</v>
      </c>
      <c r="L25" s="400"/>
      <c r="M25" s="400"/>
      <c r="N25" s="400">
        <f>1</f>
        <v>1</v>
      </c>
      <c r="O25" s="405">
        <f t="shared" ref="O25:O27" si="22">F25-C25</f>
        <v>137.29999999999995</v>
      </c>
      <c r="P25" s="405">
        <f>R3-R2</f>
        <v>-124</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1.0891445003594535</v>
      </c>
      <c r="J26" s="400">
        <f t="shared" si="21"/>
        <v>1.2020509984007981</v>
      </c>
      <c r="K26" s="400">
        <f>(1/J26-1.0256)*100</f>
        <v>-19.368854089352759</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1.0891445003594535</v>
      </c>
      <c r="J27" s="400">
        <f t="shared" ref="J27" si="23">I27/H27</f>
        <v>1.1761620489565219</v>
      </c>
      <c r="K27" s="400">
        <f t="shared" ref="K27" si="24">(1/J27-1.0256)*100</f>
        <v>-17.537702189320846</v>
      </c>
      <c r="L27" s="400"/>
      <c r="M27" s="400"/>
      <c r="N27" s="400">
        <f t="shared" ref="N27" si="25">H27/H26</f>
        <v>1.0220113796965686</v>
      </c>
      <c r="O27" s="405">
        <f t="shared" si="22"/>
        <v>103.79999999999995</v>
      </c>
      <c r="P27" s="40"/>
      <c r="Q27" t="s">
        <v>25</v>
      </c>
      <c r="R27" s="384"/>
      <c r="T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1.0891445003594535</v>
      </c>
      <c r="J28" s="400">
        <f t="shared" ref="J28" si="26">I28/H28</f>
        <v>1.1555598153392919</v>
      </c>
      <c r="K28" s="400">
        <f t="shared" ref="K28" si="27">(1/J28-1.0256)*100</f>
        <v>-16.021857471533561</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1.0891445003594535</v>
      </c>
      <c r="J29" s="400">
        <f t="shared" ref="J29" si="30">I29/H29</f>
        <v>1.1539650138081072</v>
      </c>
      <c r="K29" s="400">
        <f t="shared" ref="K29:K30" si="31">(1/J29-1.0256)*100</f>
        <v>-15.902260117576683</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6986</v>
      </c>
      <c r="B30" s="394" t="s">
        <v>4216</v>
      </c>
      <c r="C30" s="391">
        <v>1470</v>
      </c>
      <c r="D30" s="394">
        <v>100000</v>
      </c>
      <c r="E30" s="396" t="s">
        <v>5267</v>
      </c>
      <c r="F30" s="395">
        <v>1553</v>
      </c>
      <c r="G30" s="396">
        <f t="shared" si="18"/>
        <v>93469.543564806183</v>
      </c>
      <c r="H30" s="419">
        <f t="shared" si="19"/>
        <v>0.94655505473277524</v>
      </c>
      <c r="I30" s="397">
        <f t="shared" si="20"/>
        <v>1.0891445003594535</v>
      </c>
      <c r="J30" s="400">
        <f>I30/H30</f>
        <v>1.1506404143253275</v>
      </c>
      <c r="K30" s="400">
        <f t="shared" si="31"/>
        <v>-15.651875832786111</v>
      </c>
      <c r="L30" s="400"/>
      <c r="M30" s="400"/>
      <c r="N30" s="400">
        <f t="shared" si="32"/>
        <v>1.0028893470465567</v>
      </c>
      <c r="O30" s="405">
        <f>F30-C30</f>
        <v>83</v>
      </c>
      <c r="P30" s="40"/>
      <c r="R30" s="352" t="s">
        <v>25</v>
      </c>
      <c r="S30" s="352" t="s">
        <v>25</v>
      </c>
      <c r="T30" s="353" t="s">
        <v>25</v>
      </c>
      <c r="U30" t="s">
        <v>25</v>
      </c>
      <c r="W30" s="353"/>
      <c r="Y30" s="353"/>
    </row>
    <row r="31" spans="1:26" ht="18.75">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1.0891445003594535</v>
      </c>
      <c r="J31" s="400">
        <f t="shared" ref="J31:J32" si="33">I31/H31</f>
        <v>1.1336291985621776</v>
      </c>
      <c r="K31" s="400">
        <f t="shared" ref="K31:K32" si="34">(1/J31-1.0256)*100</f>
        <v>-14.347734360729625</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6994</v>
      </c>
      <c r="B32" s="394" t="s">
        <v>4216</v>
      </c>
      <c r="C32" s="391">
        <v>1500</v>
      </c>
      <c r="D32" s="394">
        <v>477049</v>
      </c>
      <c r="E32" s="396" t="s">
        <v>5267</v>
      </c>
      <c r="F32" s="395">
        <v>1532.9739999999999</v>
      </c>
      <c r="G32" s="396">
        <f t="shared" si="18"/>
        <v>460939.26259420923</v>
      </c>
      <c r="H32" s="419">
        <f t="shared" si="19"/>
        <v>0.97849017661095361</v>
      </c>
      <c r="I32" s="397">
        <f t="shared" si="20"/>
        <v>1.0891445003594535</v>
      </c>
      <c r="J32" s="400">
        <f t="shared" si="33"/>
        <v>1.1130868008626886</v>
      </c>
      <c r="K32" s="400">
        <f t="shared" si="34"/>
        <v>-12.719746820736866</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6994</v>
      </c>
      <c r="B33" s="394" t="s">
        <v>4216</v>
      </c>
      <c r="C33" s="391">
        <v>1521</v>
      </c>
      <c r="D33" s="394">
        <v>80000</v>
      </c>
      <c r="E33" s="396" t="s">
        <v>5267</v>
      </c>
      <c r="F33" s="395">
        <v>1524.8</v>
      </c>
      <c r="G33" s="396">
        <f t="shared" si="18"/>
        <v>78800.788044376532</v>
      </c>
      <c r="H33" s="419">
        <f t="shared" si="19"/>
        <v>0.99750786988457507</v>
      </c>
      <c r="I33" s="397">
        <f t="shared" si="20"/>
        <v>1.0891445003594535</v>
      </c>
      <c r="J33" s="400">
        <f t="shared" ref="J33" si="37">I33/H33</f>
        <v>1.0918655714320149</v>
      </c>
      <c r="K33" s="400">
        <f t="shared" ref="K33" si="38">(1/J33-1.0256)*100</f>
        <v>-10.973633860762778</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6997</v>
      </c>
      <c r="B34" s="394" t="s">
        <v>4216</v>
      </c>
      <c r="C34" s="391">
        <v>1538.5</v>
      </c>
      <c r="D34" s="394">
        <v>230485</v>
      </c>
      <c r="E34" s="396" t="s">
        <v>5267</v>
      </c>
      <c r="F34" s="395">
        <v>1540.67</v>
      </c>
      <c r="G34" s="396">
        <f t="shared" si="18"/>
        <v>227276.63155984267</v>
      </c>
      <c r="H34" s="419">
        <f t="shared" si="19"/>
        <v>0.99859152187035505</v>
      </c>
      <c r="I34" s="397">
        <f t="shared" si="20"/>
        <v>1.0891445003594535</v>
      </c>
      <c r="J34" s="400">
        <f t="shared" ref="J34" si="40">I34/H34</f>
        <v>1.0906807002722128</v>
      </c>
      <c r="K34" s="400">
        <f t="shared" ref="K34" si="41">(1/J34-1.0256)*100</f>
        <v>-10.874138156985879</v>
      </c>
      <c r="L34" s="400"/>
      <c r="M34" s="400"/>
      <c r="N34" s="400">
        <f t="shared" ref="N34" si="42">H34/H33</f>
        <v>1.001086359334594</v>
      </c>
      <c r="O34" s="405">
        <f t="shared" si="36"/>
        <v>2.1700000000000728</v>
      </c>
      <c r="P34" s="40"/>
      <c r="Q34" t="s">
        <v>25</v>
      </c>
      <c r="R34" s="352" t="s">
        <v>25</v>
      </c>
      <c r="S34" t="s">
        <v>25</v>
      </c>
      <c r="T34" s="353" t="s">
        <v>25</v>
      </c>
      <c r="W34" s="353"/>
      <c r="Y34" s="353"/>
    </row>
    <row r="35" spans="1:25" ht="18.75">
      <c r="A35" s="404" t="s">
        <v>6999</v>
      </c>
      <c r="B35" s="394" t="s">
        <v>4216</v>
      </c>
      <c r="C35" s="391">
        <v>1590</v>
      </c>
      <c r="D35" s="394">
        <v>87047</v>
      </c>
      <c r="E35" s="396" t="s">
        <v>5267</v>
      </c>
      <c r="F35" s="395">
        <v>1524.33</v>
      </c>
      <c r="G35" s="396">
        <f t="shared" si="18"/>
        <v>89659.47228605891</v>
      </c>
      <c r="H35" s="419">
        <f t="shared" si="19"/>
        <v>1.043081222569916</v>
      </c>
      <c r="I35" s="397">
        <f t="shared" si="20"/>
        <v>1.0891445003594535</v>
      </c>
      <c r="J35" s="400">
        <f t="shared" ref="J35" si="43">I35/H35</f>
        <v>1.0441607775049848</v>
      </c>
      <c r="K35" s="400">
        <f t="shared" ref="K35" si="44">(1/J35-1.0256)*100</f>
        <v>-6.789308211567457</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7027</v>
      </c>
      <c r="B36" s="394" t="s">
        <v>4216</v>
      </c>
      <c r="C36" s="391">
        <v>1600</v>
      </c>
      <c r="D36" s="394">
        <v>45761</v>
      </c>
      <c r="E36" s="396" t="s">
        <v>5267</v>
      </c>
      <c r="F36" s="395">
        <v>1500.23</v>
      </c>
      <c r="G36" s="396">
        <f t="shared" si="18"/>
        <v>48192.769666338638</v>
      </c>
      <c r="H36" s="419">
        <f t="shared" si="19"/>
        <v>1.0665031361857849</v>
      </c>
      <c r="I36" s="397">
        <f t="shared" si="20"/>
        <v>1.0891445003594535</v>
      </c>
      <c r="J36" s="400">
        <f t="shared" ref="J36:J37" si="46">I36/H36</f>
        <v>1.0212295336089143</v>
      </c>
      <c r="K36" s="400">
        <f t="shared" ref="K36:K37" si="47">(1/J36-1.0256)*100</f>
        <v>-4.6388209614239724</v>
      </c>
      <c r="L36" s="400"/>
      <c r="M36" s="400"/>
      <c r="N36" s="400">
        <f t="shared" ref="N36:N37" si="48">H36/H35</f>
        <v>1.0224545443912436</v>
      </c>
      <c r="O36" s="405">
        <f t="shared" ref="O36:O37" si="49">F36-C36</f>
        <v>-99.769999999999982</v>
      </c>
      <c r="P36" s="40"/>
      <c r="Q36" t="s">
        <v>25</v>
      </c>
      <c r="R36" t="s">
        <v>25</v>
      </c>
    </row>
    <row r="37" spans="1:25" ht="18.75">
      <c r="A37" s="404" t="s">
        <v>7030</v>
      </c>
      <c r="B37" s="394" t="s">
        <v>4216</v>
      </c>
      <c r="C37" s="391">
        <v>1615</v>
      </c>
      <c r="D37" s="394">
        <v>20000</v>
      </c>
      <c r="E37" s="396" t="s">
        <v>5267</v>
      </c>
      <c r="F37" s="395">
        <v>1499.74</v>
      </c>
      <c r="G37" s="396">
        <f t="shared" si="18"/>
        <v>21267.223268103215</v>
      </c>
      <c r="H37" s="419">
        <f t="shared" si="19"/>
        <v>1.0768533212423486</v>
      </c>
      <c r="I37" s="397">
        <f t="shared" si="20"/>
        <v>1.0891445003594535</v>
      </c>
      <c r="J37" s="400">
        <f t="shared" si="46"/>
        <v>1.0114139770706421</v>
      </c>
      <c r="K37" s="400">
        <f t="shared" si="47"/>
        <v>-3.6885168417091108</v>
      </c>
      <c r="L37" s="400"/>
      <c r="M37" s="400"/>
      <c r="N37" s="400">
        <f t="shared" si="48"/>
        <v>1.0097047863296305</v>
      </c>
      <c r="O37" s="405">
        <f t="shared" si="49"/>
        <v>-115.25999999999999</v>
      </c>
      <c r="P37" s="40"/>
      <c r="Q37" t="s">
        <v>25</v>
      </c>
      <c r="S37" t="s">
        <v>25</v>
      </c>
    </row>
    <row r="38" spans="1:25" ht="18.75">
      <c r="A38" s="404" t="s">
        <v>7032</v>
      </c>
      <c r="B38" s="394" t="s">
        <v>4216</v>
      </c>
      <c r="C38" s="391">
        <v>1655</v>
      </c>
      <c r="D38" s="394">
        <v>364549</v>
      </c>
      <c r="E38" s="396" t="s">
        <v>5267</v>
      </c>
      <c r="F38" s="395">
        <v>1531.9690000000001</v>
      </c>
      <c r="G38" s="396">
        <f t="shared" si="18"/>
        <v>388891.25296932348</v>
      </c>
      <c r="H38" s="419">
        <f t="shared" si="19"/>
        <v>1.0803090663061719</v>
      </c>
      <c r="I38" s="397">
        <f t="shared" si="20"/>
        <v>1.0891445003594535</v>
      </c>
      <c r="J38" s="400">
        <f t="shared" ref="J38:J39" si="50">I38/H38</f>
        <v>1.0081786169614331</v>
      </c>
      <c r="K38" s="400">
        <f t="shared" ref="K38:K39" si="51">(1/J38-1.0256)*100</f>
        <v>-3.3712269813937157</v>
      </c>
      <c r="L38" s="400"/>
      <c r="M38" s="400"/>
      <c r="N38" s="400">
        <f t="shared" ref="N38:N39" si="52">H38/H37</f>
        <v>1.0032091139950579</v>
      </c>
      <c r="O38" s="405">
        <f t="shared" ref="O38:O39" si="53">F38-C38</f>
        <v>-123.03099999999995</v>
      </c>
      <c r="P38" s="40"/>
    </row>
    <row r="39" spans="1:25" ht="18.75">
      <c r="A39" s="404" t="s">
        <v>7034</v>
      </c>
      <c r="B39" s="394" t="s">
        <v>4216</v>
      </c>
      <c r="C39" s="391">
        <v>1640</v>
      </c>
      <c r="D39" s="394">
        <v>1</v>
      </c>
      <c r="E39" s="396" t="s">
        <v>5267</v>
      </c>
      <c r="F39" s="395">
        <v>1505.6</v>
      </c>
      <c r="G39" s="396">
        <f t="shared" si="18"/>
        <v>1.0756190489568027</v>
      </c>
      <c r="H39" s="419">
        <f t="shared" si="19"/>
        <v>1.0892667375132838</v>
      </c>
      <c r="I39" s="397">
        <f t="shared" si="20"/>
        <v>1.0891445003594535</v>
      </c>
      <c r="J39" s="400">
        <f t="shared" si="50"/>
        <v>0.99988778032999581</v>
      </c>
      <c r="K39" s="400">
        <f t="shared" si="51"/>
        <v>-2.5487767735328237</v>
      </c>
      <c r="L39" s="400"/>
      <c r="M39" s="400"/>
      <c r="N39" s="400">
        <f t="shared" si="52"/>
        <v>1.0082917671308085</v>
      </c>
      <c r="O39" s="405">
        <f t="shared" si="53"/>
        <v>-134.40000000000009</v>
      </c>
      <c r="P39" s="40"/>
    </row>
    <row r="40" spans="1:25">
      <c r="A40" s="389" t="s">
        <v>5769</v>
      </c>
      <c r="B40" s="389" t="s">
        <v>4354</v>
      </c>
      <c r="C40" s="388">
        <v>11624</v>
      </c>
      <c r="D40" s="389">
        <v>8930</v>
      </c>
      <c r="E40" s="396" t="s">
        <v>6603</v>
      </c>
      <c r="F40" s="395">
        <v>1266.3</v>
      </c>
      <c r="G40" s="396">
        <f t="shared" si="0"/>
        <v>80945.870190320566</v>
      </c>
      <c r="H40" s="396">
        <f t="shared" si="1"/>
        <v>9.1794993287530602</v>
      </c>
      <c r="I40" s="396">
        <f>$R$6/$R$3</f>
        <v>13.238677210639828</v>
      </c>
      <c r="J40" s="32">
        <f t="shared" si="2"/>
        <v>1.442200357177668</v>
      </c>
      <c r="K40" s="32">
        <f t="shared" si="3"/>
        <v>-33.221506563695321</v>
      </c>
      <c r="L40" s="32"/>
      <c r="M40" s="32"/>
      <c r="N40" s="400">
        <v>1</v>
      </c>
      <c r="O40" s="40"/>
      <c r="P40" s="405" t="s">
        <v>25</v>
      </c>
      <c r="U40" t="s">
        <v>25</v>
      </c>
    </row>
    <row r="41" spans="1:25" ht="18.75" customHeight="1">
      <c r="A41" s="389" t="s">
        <v>5770</v>
      </c>
      <c r="B41" s="389" t="s">
        <v>4354</v>
      </c>
      <c r="C41" s="388">
        <v>11612</v>
      </c>
      <c r="D41" s="389">
        <v>352</v>
      </c>
      <c r="E41" s="396" t="s">
        <v>6603</v>
      </c>
      <c r="F41" s="395">
        <v>1250.3</v>
      </c>
      <c r="G41" s="396">
        <f t="shared" si="0"/>
        <v>3228.1945677388489</v>
      </c>
      <c r="H41" s="396">
        <f t="shared" ref="H41:H44" si="54">C41/F41</f>
        <v>9.2873710309525723</v>
      </c>
      <c r="I41" s="396">
        <f>$R$6/$R$3</f>
        <v>13.238677210639828</v>
      </c>
      <c r="J41" s="32">
        <f t="shared" ref="J41" si="55">I41/H41</f>
        <v>1.4254493727577484</v>
      </c>
      <c r="K41" s="406">
        <f t="shared" si="3"/>
        <v>-32.406684202796484</v>
      </c>
      <c r="L41" s="32" t="s">
        <v>25</v>
      </c>
      <c r="M41" s="32" t="s">
        <v>25</v>
      </c>
      <c r="N41" s="32">
        <f>H41/H40</f>
        <v>1.0117513709992465</v>
      </c>
      <c r="O41" s="40"/>
      <c r="P41" s="40" t="s">
        <v>25</v>
      </c>
      <c r="R41" t="s">
        <v>25</v>
      </c>
    </row>
    <row r="42" spans="1:25" ht="27.75" customHeight="1">
      <c r="A42" s="407" t="s">
        <v>6635</v>
      </c>
      <c r="B42" s="407" t="s">
        <v>5857</v>
      </c>
      <c r="C42" s="398">
        <v>3112</v>
      </c>
      <c r="D42" s="407">
        <v>200</v>
      </c>
      <c r="E42" s="394" t="s">
        <v>4216</v>
      </c>
      <c r="F42" s="394">
        <v>1613</v>
      </c>
      <c r="G42" s="394">
        <f t="shared" si="0"/>
        <v>381.03025333950779</v>
      </c>
      <c r="H42" s="394">
        <f>C42/F42</f>
        <v>1.9293242405455673</v>
      </c>
      <c r="I42" s="394">
        <f>$R$1/$R$2</f>
        <v>2.1828382838283829</v>
      </c>
      <c r="J42" s="32">
        <f>I42/H42</f>
        <v>1.1314004343879118</v>
      </c>
      <c r="K42" s="406">
        <f>(1/J42-1.0256)*100</f>
        <v>-14.173963579481885</v>
      </c>
      <c r="L42" s="32" t="s">
        <v>25</v>
      </c>
      <c r="M42" s="32" t="s">
        <v>25</v>
      </c>
      <c r="N42" s="32">
        <v>1</v>
      </c>
      <c r="O42" s="40"/>
      <c r="P42" s="40"/>
    </row>
    <row r="43" spans="1:25" ht="21">
      <c r="A43" s="407" t="s">
        <v>6635</v>
      </c>
      <c r="B43" s="407" t="s">
        <v>5857</v>
      </c>
      <c r="C43" s="398">
        <v>3178</v>
      </c>
      <c r="D43" s="407">
        <v>6860</v>
      </c>
      <c r="E43" s="396" t="s">
        <v>5267</v>
      </c>
      <c r="F43" s="396">
        <v>1704.9</v>
      </c>
      <c r="G43" s="396">
        <f t="shared" si="0"/>
        <v>12627.091883862513</v>
      </c>
      <c r="H43" s="396">
        <f>C43/F43</f>
        <v>1.864038946565781</v>
      </c>
      <c r="I43" s="396">
        <f>$R$1/$R$3</f>
        <v>2.3774263120057513</v>
      </c>
      <c r="J43" s="32">
        <f>I43/H43</f>
        <v>1.2754166517742622</v>
      </c>
      <c r="K43" s="406">
        <f>(1/J43-1.0256)*100</f>
        <v>-24.154249329513121</v>
      </c>
      <c r="L43" s="32" t="s">
        <v>25</v>
      </c>
      <c r="M43" s="32" t="s">
        <v>25</v>
      </c>
      <c r="N43" s="32">
        <v>1</v>
      </c>
      <c r="O43" s="40"/>
      <c r="P43" s="40"/>
      <c r="U43" t="s">
        <v>25</v>
      </c>
    </row>
    <row r="44" spans="1:25" ht="33.75" customHeight="1">
      <c r="A44" s="394" t="s">
        <v>6997</v>
      </c>
      <c r="B44" s="394" t="s">
        <v>4216</v>
      </c>
      <c r="C44" s="391">
        <v>1538.5</v>
      </c>
      <c r="D44" s="394">
        <v>1</v>
      </c>
      <c r="E44" s="408" t="s">
        <v>5800</v>
      </c>
      <c r="F44" s="408">
        <v>1353</v>
      </c>
      <c r="G44" s="408">
        <f>C44*D44*0.99114/(F44*1.0037158)</f>
        <v>1.1228556972348047</v>
      </c>
      <c r="H44" s="408">
        <f t="shared" si="54"/>
        <v>1.1371027346637104</v>
      </c>
      <c r="I44" s="408">
        <f>$R$2/$R$4</f>
        <v>1.1123348017621146</v>
      </c>
      <c r="J44" s="32">
        <f>I44/H44</f>
        <v>0.97821838595004285</v>
      </c>
      <c r="K44" s="32">
        <f>(1/J44-1.0256)*100</f>
        <v>-0.33333830944071163</v>
      </c>
      <c r="L44" s="32"/>
      <c r="M44" s="32"/>
      <c r="N44" s="32">
        <v>1</v>
      </c>
      <c r="O44" s="405">
        <f>F44-C44</f>
        <v>-185.5</v>
      </c>
      <c r="P44" s="405">
        <f>R4-R2</f>
        <v>-153</v>
      </c>
    </row>
    <row r="45" spans="1:25" ht="24.75" customHeight="1">
      <c r="A45" s="94"/>
      <c r="B45" s="113"/>
      <c r="C45" s="113"/>
      <c r="D45" s="94"/>
      <c r="E45" s="94"/>
      <c r="F45" s="94"/>
      <c r="G45" s="94"/>
      <c r="H45" s="94"/>
      <c r="I45" s="94"/>
      <c r="J45" s="94"/>
      <c r="K45" s="94"/>
      <c r="L45" s="94"/>
      <c r="M45" s="94"/>
      <c r="N45" s="94"/>
    </row>
    <row r="46" spans="1:25">
      <c r="A46" s="94"/>
      <c r="B46" s="94"/>
      <c r="C46" s="94"/>
      <c r="D46" s="94"/>
      <c r="E46" s="94"/>
      <c r="F46" s="94" t="s">
        <v>25</v>
      </c>
      <c r="G46" s="94"/>
      <c r="H46" s="94"/>
      <c r="I46" s="94"/>
      <c r="J46" s="94"/>
      <c r="K46" s="94"/>
      <c r="L46" s="94"/>
      <c r="M46" s="94"/>
      <c r="N46" s="94"/>
      <c r="R46" t="s">
        <v>25</v>
      </c>
    </row>
    <row r="47" spans="1:25">
      <c r="A47" s="113"/>
      <c r="B47" s="113"/>
      <c r="C47" s="113"/>
      <c r="D47" s="113"/>
      <c r="E47" s="113"/>
      <c r="F47" s="113"/>
      <c r="G47" s="113"/>
      <c r="H47" s="113"/>
      <c r="I47" s="113"/>
      <c r="J47" s="113"/>
      <c r="K47" s="113"/>
      <c r="L47" s="113"/>
      <c r="M47" s="113"/>
      <c r="N47" s="113"/>
    </row>
    <row r="48" spans="1:25">
      <c r="A48" s="97" t="s">
        <v>5516</v>
      </c>
      <c r="B48" s="97"/>
      <c r="C48" s="97" t="s">
        <v>933</v>
      </c>
      <c r="D48" s="97" t="s">
        <v>6497</v>
      </c>
      <c r="E48" s="97"/>
      <c r="F48" s="97" t="s">
        <v>933</v>
      </c>
      <c r="G48" s="97" t="s">
        <v>6498</v>
      </c>
      <c r="H48" s="97"/>
      <c r="I48" s="97"/>
      <c r="J48" s="97"/>
      <c r="K48" s="97"/>
      <c r="L48" s="97" t="s">
        <v>936</v>
      </c>
      <c r="M48" s="97" t="s">
        <v>5</v>
      </c>
      <c r="N48" s="97" t="s">
        <v>6499</v>
      </c>
      <c r="P48" t="s">
        <v>6500</v>
      </c>
    </row>
    <row r="49" spans="1:19">
      <c r="A49" s="97" t="s">
        <v>5506</v>
      </c>
      <c r="B49" s="97" t="s">
        <v>6496</v>
      </c>
      <c r="C49" s="97">
        <v>17800</v>
      </c>
      <c r="D49" s="97">
        <v>916</v>
      </c>
      <c r="E49" s="97" t="s">
        <v>4354</v>
      </c>
      <c r="F49" s="97">
        <v>16472</v>
      </c>
      <c r="G49" s="97">
        <v>916</v>
      </c>
      <c r="H49" s="97"/>
      <c r="I49" s="97"/>
      <c r="J49" s="97"/>
      <c r="K49" s="97"/>
      <c r="L49" s="93">
        <v>987467</v>
      </c>
      <c r="M49" s="93">
        <f>L49/2</f>
        <v>493733.5</v>
      </c>
      <c r="N49" s="97" t="s">
        <v>5506</v>
      </c>
      <c r="P49">
        <v>1086</v>
      </c>
    </row>
    <row r="50" spans="1:19" ht="270">
      <c r="A50" s="271" t="s">
        <v>5729</v>
      </c>
      <c r="B50" s="340" t="s">
        <v>6575</v>
      </c>
      <c r="C50" s="271">
        <v>21532</v>
      </c>
      <c r="D50" s="271">
        <v>1859</v>
      </c>
      <c r="E50" s="273" t="s">
        <v>6503</v>
      </c>
      <c r="F50" s="273">
        <v>1187</v>
      </c>
      <c r="G50" s="273">
        <f t="shared" ref="G50:G56" si="56">C50*D50*0.99114/(F50*1.0037158)</f>
        <v>33299.467209851166</v>
      </c>
      <c r="H50" s="273">
        <f t="shared" ref="H50:H56" si="57">C50/F50</f>
        <v>18.139848357203032</v>
      </c>
      <c r="I50" s="273">
        <f t="shared" ref="I50:I55" si="58">$R$5/$R$2</f>
        <v>19.207920792079207</v>
      </c>
      <c r="J50" s="97">
        <f t="shared" ref="J50:J56" si="59">I50/H50</f>
        <v>1.0588798987645374</v>
      </c>
      <c r="K50" s="97">
        <f t="shared" ref="K50:K56" si="60">(1/J50-1.0256)*100</f>
        <v>-8.1205832949739047</v>
      </c>
      <c r="L50" s="93">
        <v>1600000</v>
      </c>
      <c r="M50" s="93">
        <f t="shared" ref="M50:M59" si="61">L50/2</f>
        <v>800000</v>
      </c>
      <c r="N50" s="97" t="s">
        <v>6494</v>
      </c>
      <c r="Q50" t="s">
        <v>25</v>
      </c>
    </row>
    <row r="51" spans="1:19">
      <c r="A51" s="271" t="s">
        <v>5734</v>
      </c>
      <c r="B51" s="271" t="s">
        <v>6502</v>
      </c>
      <c r="C51" s="271">
        <v>22420.1</v>
      </c>
      <c r="D51" s="286">
        <v>1000</v>
      </c>
      <c r="E51" s="273" t="s">
        <v>6504</v>
      </c>
      <c r="F51" s="273">
        <v>1161</v>
      </c>
      <c r="G51" s="273">
        <f t="shared" si="56"/>
        <v>19069.072437793271</v>
      </c>
      <c r="H51" s="273">
        <f t="shared" si="57"/>
        <v>19.311024978466836</v>
      </c>
      <c r="I51" s="273">
        <f t="shared" si="58"/>
        <v>19.207920792079207</v>
      </c>
      <c r="J51" s="97">
        <f t="shared" si="59"/>
        <v>0.99466086411764276</v>
      </c>
      <c r="K51" s="97">
        <f t="shared" si="60"/>
        <v>-2.0232204729303982</v>
      </c>
      <c r="L51" s="93">
        <v>19462210</v>
      </c>
      <c r="M51" s="93">
        <f t="shared" si="61"/>
        <v>9731105</v>
      </c>
      <c r="N51" s="97" t="s">
        <v>6488</v>
      </c>
    </row>
    <row r="52" spans="1:19">
      <c r="A52" s="271" t="s">
        <v>5735</v>
      </c>
      <c r="B52" s="271" t="s">
        <v>6502</v>
      </c>
      <c r="C52" s="271">
        <v>23233.1</v>
      </c>
      <c r="D52" s="286">
        <v>1000</v>
      </c>
      <c r="E52" s="273" t="s">
        <v>6504</v>
      </c>
      <c r="F52" s="273">
        <v>1152</v>
      </c>
      <c r="G52" s="273">
        <f t="shared" si="56"/>
        <v>19914.936480069027</v>
      </c>
      <c r="H52" s="273">
        <f t="shared" si="57"/>
        <v>20.167621527777776</v>
      </c>
      <c r="I52" s="273">
        <f t="shared" si="58"/>
        <v>19.207920792079207</v>
      </c>
      <c r="J52" s="97">
        <f t="shared" si="59"/>
        <v>0.95241378690210299</v>
      </c>
      <c r="K52" s="97">
        <f t="shared" si="60"/>
        <v>2.4363801188430623</v>
      </c>
      <c r="L52" s="93">
        <v>0</v>
      </c>
      <c r="M52" s="93">
        <f t="shared" si="61"/>
        <v>0</v>
      </c>
      <c r="N52" s="97" t="s">
        <v>6488</v>
      </c>
    </row>
    <row r="53" spans="1:19">
      <c r="A53" s="271" t="s">
        <v>5737</v>
      </c>
      <c r="B53" s="271" t="s">
        <v>6502</v>
      </c>
      <c r="C53" s="271">
        <v>23900</v>
      </c>
      <c r="D53" s="286">
        <v>1000</v>
      </c>
      <c r="E53" s="273" t="s">
        <v>6505</v>
      </c>
      <c r="F53" s="273">
        <v>1153</v>
      </c>
      <c r="G53" s="273">
        <f t="shared" si="56"/>
        <v>20468.821398374203</v>
      </c>
      <c r="H53" s="273">
        <f t="shared" si="57"/>
        <v>20.7285342584562</v>
      </c>
      <c r="I53" s="273">
        <f t="shared" si="58"/>
        <v>19.207920792079207</v>
      </c>
      <c r="J53" s="97">
        <f t="shared" si="59"/>
        <v>0.92664153444633168</v>
      </c>
      <c r="K53" s="97">
        <f t="shared" si="60"/>
        <v>5.3565958816534032</v>
      </c>
      <c r="L53" s="93">
        <v>0</v>
      </c>
      <c r="M53" s="93">
        <f t="shared" si="61"/>
        <v>0</v>
      </c>
      <c r="N53" s="97" t="s">
        <v>6488</v>
      </c>
      <c r="P53" t="s">
        <v>25</v>
      </c>
    </row>
    <row r="54" spans="1:19">
      <c r="A54" s="271" t="s">
        <v>5747</v>
      </c>
      <c r="B54" s="271" t="s">
        <v>6502</v>
      </c>
      <c r="C54" s="271">
        <v>22500</v>
      </c>
      <c r="D54" s="286">
        <v>2000</v>
      </c>
      <c r="E54" s="273" t="s">
        <v>6504</v>
      </c>
      <c r="F54" s="273">
        <v>1093</v>
      </c>
      <c r="G54" s="273">
        <f t="shared" si="56"/>
        <v>40655.246136679802</v>
      </c>
      <c r="H54" s="273">
        <f t="shared" si="57"/>
        <v>20.585544373284538</v>
      </c>
      <c r="I54" s="273">
        <f t="shared" si="58"/>
        <v>19.207920792079207</v>
      </c>
      <c r="J54" s="97">
        <f t="shared" si="59"/>
        <v>0.93307810781078104</v>
      </c>
      <c r="K54" s="97">
        <f t="shared" si="60"/>
        <v>4.6121640052442459</v>
      </c>
      <c r="L54" s="93">
        <v>0</v>
      </c>
      <c r="M54" s="93">
        <f t="shared" si="61"/>
        <v>0</v>
      </c>
      <c r="N54" s="97" t="s">
        <v>6488</v>
      </c>
    </row>
    <row r="55" spans="1:19">
      <c r="A55" s="271" t="s">
        <v>6472</v>
      </c>
      <c r="B55" s="271" t="s">
        <v>6501</v>
      </c>
      <c r="C55" s="271">
        <v>23706</v>
      </c>
      <c r="D55" s="286">
        <v>1000</v>
      </c>
      <c r="E55" s="273" t="s">
        <v>4216</v>
      </c>
      <c r="F55" s="273">
        <v>1155</v>
      </c>
      <c r="G55" s="273">
        <f t="shared" si="56"/>
        <v>20267.516662882761</v>
      </c>
      <c r="H55" s="273">
        <f t="shared" si="57"/>
        <v>20.524675324675325</v>
      </c>
      <c r="I55" s="273">
        <f t="shared" si="58"/>
        <v>19.207920792079207</v>
      </c>
      <c r="J55" s="97">
        <f t="shared" si="59"/>
        <v>0.93584529295754171</v>
      </c>
      <c r="K55" s="97">
        <f t="shared" si="60"/>
        <v>4.2952684428973154</v>
      </c>
      <c r="L55" s="93">
        <v>0</v>
      </c>
      <c r="M55" s="93">
        <f t="shared" si="61"/>
        <v>0</v>
      </c>
      <c r="N55" s="97" t="s">
        <v>6488</v>
      </c>
    </row>
    <row r="56" spans="1:19">
      <c r="A56" s="60" t="s">
        <v>6472</v>
      </c>
      <c r="B56" s="60" t="s">
        <v>4354</v>
      </c>
      <c r="C56" s="60">
        <v>16794</v>
      </c>
      <c r="D56" s="60">
        <v>2227</v>
      </c>
      <c r="E56" s="273" t="s">
        <v>4216</v>
      </c>
      <c r="F56" s="273">
        <v>1146.6500000000001</v>
      </c>
      <c r="G56" s="273">
        <f t="shared" si="56"/>
        <v>32208.294857700886</v>
      </c>
      <c r="H56" s="273">
        <f t="shared" si="57"/>
        <v>14.646143112545239</v>
      </c>
      <c r="I56" s="273">
        <f>$R$6/$R$2</f>
        <v>12.155115511551156</v>
      </c>
      <c r="J56" s="97">
        <f t="shared" si="59"/>
        <v>0.82991920932000318</v>
      </c>
      <c r="K56" s="97">
        <f t="shared" si="60"/>
        <v>17.93365634268822</v>
      </c>
      <c r="L56" s="93">
        <v>3219484</v>
      </c>
      <c r="M56" s="93">
        <f t="shared" si="61"/>
        <v>1609742</v>
      </c>
      <c r="N56" s="97" t="s">
        <v>6478</v>
      </c>
      <c r="P56" t="s">
        <v>25</v>
      </c>
      <c r="S56" t="s">
        <v>25</v>
      </c>
    </row>
    <row r="57" spans="1:19">
      <c r="A57" s="20" t="s">
        <v>6582</v>
      </c>
      <c r="B57" s="20" t="s">
        <v>6583</v>
      </c>
      <c r="C57" s="20">
        <v>21350</v>
      </c>
      <c r="D57" s="20">
        <v>639</v>
      </c>
      <c r="E57" s="20" t="s">
        <v>4358</v>
      </c>
      <c r="F57" s="20">
        <v>20666.599999999999</v>
      </c>
      <c r="G57" s="20">
        <v>639</v>
      </c>
      <c r="H57" s="20"/>
      <c r="I57" s="20"/>
      <c r="J57" s="20"/>
      <c r="K57" s="20"/>
      <c r="L57" s="345">
        <v>268731</v>
      </c>
      <c r="M57" s="345">
        <f t="shared" si="61"/>
        <v>134365.5</v>
      </c>
      <c r="N57" s="20" t="s">
        <v>6582</v>
      </c>
    </row>
    <row r="58" spans="1:19">
      <c r="A58" s="97" t="s">
        <v>6592</v>
      </c>
      <c r="B58" s="97" t="s">
        <v>6594</v>
      </c>
      <c r="C58" s="97">
        <v>1286.5</v>
      </c>
      <c r="D58" s="97">
        <v>12000</v>
      </c>
      <c r="E58" s="97" t="s">
        <v>4216</v>
      </c>
      <c r="F58" s="97"/>
      <c r="G58" s="97"/>
      <c r="H58" s="97"/>
      <c r="I58" s="97"/>
      <c r="J58" s="97"/>
      <c r="K58" s="97"/>
      <c r="L58" s="345"/>
      <c r="M58" s="345">
        <f t="shared" si="61"/>
        <v>0</v>
      </c>
      <c r="N58" s="97"/>
      <c r="P58" t="s">
        <v>25</v>
      </c>
    </row>
    <row r="59" spans="1:19" ht="30">
      <c r="A59" s="97" t="s">
        <v>6593</v>
      </c>
      <c r="B59" s="97" t="s">
        <v>6594</v>
      </c>
      <c r="C59" s="97">
        <v>1275</v>
      </c>
      <c r="D59" s="97">
        <v>9000</v>
      </c>
      <c r="E59" s="97" t="s">
        <v>4216</v>
      </c>
      <c r="F59" s="97">
        <v>1314</v>
      </c>
      <c r="G59" s="97">
        <v>9000</v>
      </c>
      <c r="H59" s="97"/>
      <c r="I59" s="97"/>
      <c r="J59" s="97"/>
      <c r="K59" s="97"/>
      <c r="L59" s="345">
        <v>191456</v>
      </c>
      <c r="M59" s="345">
        <f t="shared" si="61"/>
        <v>95728</v>
      </c>
      <c r="N59" s="36" t="s">
        <v>6609</v>
      </c>
      <c r="Q59" s="94"/>
    </row>
    <row r="60" spans="1:19">
      <c r="A60" s="97" t="s">
        <v>6593</v>
      </c>
      <c r="B60" s="97" t="s">
        <v>6583</v>
      </c>
      <c r="C60" s="97">
        <v>19703</v>
      </c>
      <c r="D60" s="97">
        <v>210</v>
      </c>
      <c r="E60" s="97" t="s">
        <v>4358</v>
      </c>
      <c r="F60" s="97">
        <v>20548.900000000001</v>
      </c>
      <c r="G60" s="97">
        <v>210</v>
      </c>
      <c r="H60" s="97"/>
      <c r="I60" s="97"/>
      <c r="J60" s="97"/>
      <c r="K60" s="97"/>
      <c r="L60" s="345">
        <v>124637</v>
      </c>
      <c r="M60" s="345">
        <f>L60/2</f>
        <v>62318.5</v>
      </c>
      <c r="N60" s="97" t="s">
        <v>6595</v>
      </c>
      <c r="Q60" s="94"/>
      <c r="R60" s="94"/>
    </row>
    <row r="61" spans="1:19">
      <c r="A61" s="97" t="s">
        <v>6595</v>
      </c>
      <c r="B61" s="97" t="s">
        <v>6594</v>
      </c>
      <c r="C61" s="97">
        <v>1266.5</v>
      </c>
      <c r="D61" s="97">
        <v>8000</v>
      </c>
      <c r="E61" s="97" t="s">
        <v>4216</v>
      </c>
      <c r="F61" s="97">
        <v>1301</v>
      </c>
      <c r="G61" s="97">
        <v>8000</v>
      </c>
      <c r="H61" s="97"/>
      <c r="I61" s="97"/>
      <c r="J61" s="97"/>
      <c r="K61" s="97"/>
      <c r="L61" s="345">
        <v>146805</v>
      </c>
      <c r="M61" s="345">
        <f>L61/2</f>
        <v>73402.5</v>
      </c>
      <c r="N61" s="97" t="s">
        <v>6595</v>
      </c>
      <c r="P61" t="s">
        <v>25</v>
      </c>
      <c r="Q61" s="94"/>
      <c r="R61" s="94"/>
    </row>
    <row r="62" spans="1:19" ht="30">
      <c r="A62" s="36" t="s">
        <v>6610</v>
      </c>
      <c r="B62" s="97" t="s">
        <v>6594</v>
      </c>
      <c r="C62" s="97" t="s">
        <v>6611</v>
      </c>
      <c r="D62" s="97">
        <v>21000</v>
      </c>
      <c r="E62" s="97" t="s">
        <v>4216</v>
      </c>
      <c r="F62" s="97">
        <v>1312</v>
      </c>
      <c r="G62" s="97">
        <v>21000</v>
      </c>
      <c r="H62" s="97"/>
      <c r="I62" s="97"/>
      <c r="J62" s="97"/>
      <c r="K62" s="97"/>
      <c r="L62" s="345">
        <v>345822</v>
      </c>
      <c r="M62" s="345">
        <f>L62/2</f>
        <v>172911</v>
      </c>
      <c r="N62" s="97" t="s">
        <v>6612</v>
      </c>
      <c r="Q62" s="94"/>
      <c r="R62" s="94"/>
    </row>
    <row r="63" spans="1:19">
      <c r="A63" s="97"/>
      <c r="B63" s="97"/>
      <c r="C63" s="97"/>
      <c r="D63" s="97"/>
      <c r="E63" s="97"/>
      <c r="F63" s="97"/>
      <c r="G63" s="97"/>
      <c r="H63" s="97"/>
      <c r="I63" s="97"/>
      <c r="J63" s="97"/>
      <c r="K63" s="97" t="s">
        <v>25</v>
      </c>
      <c r="L63" s="345"/>
      <c r="M63" s="345"/>
      <c r="N63" s="97"/>
      <c r="P63" t="s">
        <v>25</v>
      </c>
      <c r="Q63" s="94"/>
      <c r="R63" s="94"/>
    </row>
    <row r="64" spans="1:19">
      <c r="A64" s="94"/>
      <c r="N64" s="94"/>
      <c r="P64" t="s">
        <v>25</v>
      </c>
      <c r="Q64" s="94"/>
      <c r="R64" s="94"/>
      <c r="S64" s="94"/>
    </row>
    <row r="65" spans="1:20">
      <c r="A65" s="94"/>
      <c r="Q65" s="94"/>
      <c r="R65" s="94"/>
      <c r="S65" s="94"/>
    </row>
    <row r="66" spans="1:20">
      <c r="A66" s="97" t="s">
        <v>6489</v>
      </c>
      <c r="B66" s="97"/>
      <c r="C66" s="97" t="s">
        <v>920</v>
      </c>
      <c r="D66" s="97" t="s">
        <v>933</v>
      </c>
      <c r="E66" s="97" t="s">
        <v>920</v>
      </c>
      <c r="F66" s="97" t="s">
        <v>933</v>
      </c>
      <c r="G66" s="97" t="s">
        <v>936</v>
      </c>
      <c r="H66" s="97" t="s">
        <v>5</v>
      </c>
      <c r="I66" s="97" t="s">
        <v>6606</v>
      </c>
      <c r="J66" s="97"/>
      <c r="K66" s="97"/>
      <c r="L66" s="97"/>
      <c r="M66" s="97"/>
      <c r="N66" s="97"/>
      <c r="Q66" s="94"/>
      <c r="R66" s="94"/>
      <c r="S66" s="94"/>
    </row>
    <row r="67" spans="1:20">
      <c r="A67" s="97" t="s">
        <v>6488</v>
      </c>
      <c r="B67" s="97" t="s">
        <v>4216</v>
      </c>
      <c r="C67" s="97">
        <v>33874</v>
      </c>
      <c r="D67" s="112">
        <v>1240</v>
      </c>
      <c r="E67" s="97">
        <v>33874</v>
      </c>
      <c r="F67" s="93">
        <v>1278</v>
      </c>
      <c r="G67" s="93">
        <v>750337</v>
      </c>
      <c r="H67" s="93">
        <f>G67/2</f>
        <v>375168.5</v>
      </c>
      <c r="I67" s="97">
        <v>0</v>
      </c>
      <c r="J67" s="97"/>
      <c r="K67" s="97"/>
      <c r="L67" s="97"/>
      <c r="M67" s="97"/>
      <c r="N67" s="97"/>
      <c r="P67" s="94"/>
      <c r="Q67" s="94"/>
      <c r="R67" s="94"/>
      <c r="S67" s="94"/>
    </row>
    <row r="68" spans="1:20">
      <c r="A68" s="97" t="s">
        <v>6494</v>
      </c>
      <c r="B68" s="97" t="s">
        <v>4216</v>
      </c>
      <c r="C68" s="97">
        <v>33274</v>
      </c>
      <c r="D68" s="97">
        <v>1291</v>
      </c>
      <c r="E68" s="97">
        <v>33274</v>
      </c>
      <c r="F68" s="97">
        <v>1314.3</v>
      </c>
      <c r="G68" s="93">
        <v>229922</v>
      </c>
      <c r="H68" s="93">
        <f>G68/2</f>
        <v>114961</v>
      </c>
      <c r="I68" s="97">
        <v>0</v>
      </c>
      <c r="J68" s="97" t="s">
        <v>25</v>
      </c>
      <c r="K68" s="97"/>
      <c r="L68" s="97"/>
      <c r="M68" s="97"/>
      <c r="N68" s="97"/>
      <c r="P68" s="94"/>
      <c r="Q68" s="94"/>
      <c r="R68" s="94"/>
      <c r="S68" s="94"/>
      <c r="T68" s="94"/>
    </row>
    <row r="69" spans="1:20">
      <c r="A69" s="97" t="s">
        <v>6586</v>
      </c>
      <c r="B69" s="97" t="s">
        <v>4216</v>
      </c>
      <c r="C69" s="97">
        <v>2838</v>
      </c>
      <c r="D69" s="97">
        <v>1302</v>
      </c>
      <c r="E69" s="97">
        <v>2838</v>
      </c>
      <c r="F69" s="97">
        <v>1320</v>
      </c>
      <c r="G69" s="93">
        <v>4540</v>
      </c>
      <c r="H69" s="93">
        <f>G69/2</f>
        <v>2270</v>
      </c>
      <c r="I69" s="97">
        <v>0</v>
      </c>
      <c r="J69" s="97"/>
      <c r="K69" s="97"/>
      <c r="L69" s="97"/>
      <c r="M69" s="97"/>
      <c r="N69" s="97"/>
      <c r="P69" s="94"/>
      <c r="Q69" s="94"/>
      <c r="R69" s="94"/>
      <c r="S69" s="94"/>
      <c r="T69" s="94"/>
    </row>
    <row r="70" spans="1:20">
      <c r="A70" s="20" t="s">
        <v>6586</v>
      </c>
      <c r="B70" s="20" t="s">
        <v>4216</v>
      </c>
      <c r="C70" s="20">
        <v>28000</v>
      </c>
      <c r="D70" s="20">
        <v>1302</v>
      </c>
      <c r="E70" s="20">
        <v>28000</v>
      </c>
      <c r="F70" s="20">
        <v>1345</v>
      </c>
      <c r="G70" s="93">
        <v>737130</v>
      </c>
      <c r="H70" s="93">
        <f>G70/2</f>
        <v>368565</v>
      </c>
      <c r="I70" s="20" t="s">
        <v>6591</v>
      </c>
      <c r="J70" s="20"/>
      <c r="K70" s="97"/>
      <c r="L70" s="97"/>
      <c r="M70" s="97"/>
      <c r="N70" s="97"/>
      <c r="P70" s="94"/>
      <c r="Q70" s="94"/>
      <c r="R70" s="94" t="s">
        <v>25</v>
      </c>
      <c r="S70" s="94"/>
      <c r="T70" s="94"/>
    </row>
    <row r="71" spans="1:20">
      <c r="A71" s="159" t="s">
        <v>6591</v>
      </c>
      <c r="B71" s="159" t="s">
        <v>4216</v>
      </c>
      <c r="C71" s="159">
        <v>28000</v>
      </c>
      <c r="D71" s="159">
        <v>1306.5</v>
      </c>
      <c r="E71" s="159">
        <v>28000</v>
      </c>
      <c r="F71" s="159">
        <v>1358.5</v>
      </c>
      <c r="G71" s="159">
        <v>985488</v>
      </c>
      <c r="H71" s="159">
        <f>G71/2</f>
        <v>492744</v>
      </c>
      <c r="I71" s="97" t="s">
        <v>6605</v>
      </c>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327" t="s">
        <v>6614</v>
      </c>
      <c r="B74" s="273" t="s">
        <v>4216</v>
      </c>
      <c r="C74" s="274">
        <v>1504</v>
      </c>
      <c r="D74" s="273">
        <v>7754</v>
      </c>
      <c r="E74" s="348" t="s">
        <v>1068</v>
      </c>
      <c r="F74" s="44">
        <v>115435.1</v>
      </c>
      <c r="G74" s="348">
        <f>C74*D74*0.99114/(F74*1.00125)</f>
        <v>100.00649900224266</v>
      </c>
      <c r="H74" s="195">
        <f>C74/F74</f>
        <v>1.3028966059716672E-2</v>
      </c>
      <c r="I74" s="349">
        <f>$R$2/$R$7</f>
        <v>1.3060344827586208E-2</v>
      </c>
      <c r="J74" s="20">
        <f>I74/H74</f>
        <v>1.0024083851109684</v>
      </c>
      <c r="K74" s="20">
        <f>(1/J74-1.015155)*100</f>
        <v>-1.7557598727964363</v>
      </c>
      <c r="L74" s="20"/>
      <c r="M74" s="20"/>
      <c r="N74" s="20">
        <f>1</f>
        <v>1</v>
      </c>
      <c r="O74" s="94"/>
      <c r="P74" s="94"/>
      <c r="Q74" s="94"/>
      <c r="R74" s="94"/>
      <c r="S74" s="94"/>
      <c r="T74" s="94"/>
    </row>
    <row r="75" spans="1:20">
      <c r="A75" s="327"/>
      <c r="B75" s="273"/>
      <c r="C75" s="274"/>
      <c r="D75" s="273"/>
      <c r="E75" s="348" t="s">
        <v>1068</v>
      </c>
      <c r="F75" s="44">
        <v>0</v>
      </c>
      <c r="G75" s="348" t="e">
        <f t="shared" ref="G75:G76" si="62">C75*D75*0.99114/(F75*1.0037158)</f>
        <v>#DIV/0!</v>
      </c>
      <c r="H75" s="195" t="e">
        <f t="shared" ref="H75:H76" si="63">C75/F75</f>
        <v>#DIV/0!</v>
      </c>
      <c r="I75" s="349">
        <f t="shared" ref="I75:I76" si="64">$R$2/$R$7</f>
        <v>1.3060344827586208E-2</v>
      </c>
      <c r="J75" s="20" t="e">
        <f t="shared" ref="J75:J76" si="65">I75/H75</f>
        <v>#DIV/0!</v>
      </c>
      <c r="K75" s="20" t="e">
        <f t="shared" ref="K75:K76" si="66">(1/J75-1.0256)*100</f>
        <v>#DIV/0!</v>
      </c>
      <c r="L75" s="20"/>
      <c r="M75" s="20"/>
      <c r="N75" s="20">
        <f>1</f>
        <v>1</v>
      </c>
      <c r="O75" s="94"/>
      <c r="P75" s="94"/>
      <c r="Q75" s="94"/>
      <c r="R75" s="94"/>
      <c r="S75" s="94"/>
      <c r="T75" s="94"/>
    </row>
    <row r="76" spans="1:20">
      <c r="A76" s="327"/>
      <c r="B76" s="273"/>
      <c r="C76" s="274"/>
      <c r="D76" s="273"/>
      <c r="E76" s="348" t="s">
        <v>1068</v>
      </c>
      <c r="F76" s="44">
        <v>0</v>
      </c>
      <c r="G76" s="348" t="e">
        <f t="shared" si="62"/>
        <v>#DIV/0!</v>
      </c>
      <c r="H76" s="195" t="e">
        <f t="shared" si="63"/>
        <v>#DIV/0!</v>
      </c>
      <c r="I76" s="349">
        <f t="shared" si="64"/>
        <v>1.3060344827586208E-2</v>
      </c>
      <c r="J76" s="20" t="e">
        <f t="shared" si="65"/>
        <v>#DIV/0!</v>
      </c>
      <c r="K76" s="20" t="e">
        <f t="shared" si="66"/>
        <v>#DIV/0!</v>
      </c>
      <c r="L76" s="20"/>
      <c r="M76" s="20"/>
      <c r="N76" s="20">
        <f>1</f>
        <v>1</v>
      </c>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t="s">
        <v>25</v>
      </c>
      <c r="E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t="s">
        <v>25</v>
      </c>
      <c r="R82" s="94" t="s">
        <v>25</v>
      </c>
      <c r="S82" s="94"/>
      <c r="T82" s="94"/>
    </row>
    <row r="83" spans="1:26">
      <c r="A83" s="94"/>
      <c r="H83">
        <v>66597</v>
      </c>
      <c r="J83" t="s">
        <v>25</v>
      </c>
      <c r="O83" s="94"/>
      <c r="P83" s="94"/>
      <c r="Q83" s="94" t="s">
        <v>25</v>
      </c>
      <c r="R83" s="94" t="s">
        <v>25</v>
      </c>
      <c r="S83" s="94"/>
      <c r="T83" s="94"/>
    </row>
    <row r="84" spans="1:26">
      <c r="A84" s="94"/>
      <c r="O84" s="94"/>
      <c r="P84" s="94"/>
      <c r="Q84" s="94" t="s">
        <v>25</v>
      </c>
      <c r="R84" s="94" t="s">
        <v>25</v>
      </c>
      <c r="S84" s="94"/>
      <c r="T84" s="94"/>
    </row>
    <row r="85" spans="1:26">
      <c r="A85" s="94"/>
      <c r="O85" s="94"/>
      <c r="P85" s="94"/>
      <c r="Q85" s="94" t="s">
        <v>25</v>
      </c>
      <c r="R85" s="112" t="s">
        <v>25</v>
      </c>
      <c r="S85" s="94" t="s">
        <v>25</v>
      </c>
      <c r="T85" s="94"/>
    </row>
    <row r="86" spans="1:26">
      <c r="A86" s="94"/>
      <c r="H86">
        <v>31500</v>
      </c>
      <c r="O86" s="94"/>
      <c r="P86" s="94"/>
      <c r="Q86" s="94" t="s">
        <v>25</v>
      </c>
      <c r="R86" s="112" t="s">
        <v>25</v>
      </c>
      <c r="S86" s="94" t="s">
        <v>25</v>
      </c>
      <c r="T86" s="94"/>
    </row>
    <row r="87" spans="1:26">
      <c r="A87" s="94"/>
      <c r="H87">
        <v>34120</v>
      </c>
      <c r="O87" s="94"/>
      <c r="P87" s="94"/>
      <c r="Q87" s="94" t="s">
        <v>25</v>
      </c>
      <c r="R87" s="112"/>
      <c r="S87" s="120" t="s">
        <v>25</v>
      </c>
      <c r="T87" s="94"/>
    </row>
    <row r="88" spans="1:26">
      <c r="A88" s="94"/>
      <c r="O88" s="94"/>
      <c r="P88" s="94"/>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c r="P92" s="94"/>
      <c r="S92" s="94"/>
      <c r="T92" s="94"/>
    </row>
    <row r="93" spans="1:26">
      <c r="A93" s="94"/>
      <c r="O93" s="94"/>
      <c r="P93" s="94" t="s">
        <v>25</v>
      </c>
      <c r="S93" s="94"/>
      <c r="T93" s="94"/>
    </row>
    <row r="94" spans="1:26">
      <c r="A94" s="94"/>
      <c r="O94" s="94" t="s">
        <v>25</v>
      </c>
      <c r="P94" s="94" t="s">
        <v>25</v>
      </c>
    </row>
    <row r="95" spans="1:26">
      <c r="A95" s="94"/>
      <c r="O95" s="94" t="s">
        <v>25</v>
      </c>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P99" s="94" t="s">
        <v>25</v>
      </c>
      <c r="AA99" t="s">
        <v>25</v>
      </c>
    </row>
    <row r="100" spans="1:27">
      <c r="A100" s="94"/>
      <c r="O100" s="94"/>
    </row>
    <row r="101" spans="1:27">
      <c r="A101" s="94"/>
      <c r="P101" t="s">
        <v>25</v>
      </c>
    </row>
    <row r="102" spans="1:27">
      <c r="A102" s="94"/>
    </row>
    <row r="103" spans="1:27">
      <c r="A103" s="94"/>
      <c r="O103" t="s">
        <v>25</v>
      </c>
      <c r="Q103" t="s">
        <v>25</v>
      </c>
    </row>
    <row r="104" spans="1:27">
      <c r="A104" s="94"/>
    </row>
    <row r="105" spans="1:27">
      <c r="A105" s="94"/>
      <c r="P105" t="s">
        <v>25</v>
      </c>
      <c r="R105" t="s">
        <v>25</v>
      </c>
    </row>
    <row r="106" spans="1:27">
      <c r="A106" s="94"/>
      <c r="O106" t="s">
        <v>25</v>
      </c>
      <c r="P106" t="s">
        <v>25</v>
      </c>
    </row>
    <row r="107" spans="1:27">
      <c r="P107" t="s">
        <v>25</v>
      </c>
      <c r="Z107" t="s">
        <v>25</v>
      </c>
    </row>
    <row r="108" spans="1:27">
      <c r="O108" t="s">
        <v>25</v>
      </c>
      <c r="P108" t="s">
        <v>25</v>
      </c>
    </row>
    <row r="110" spans="1:27">
      <c r="P110" t="s">
        <v>25</v>
      </c>
    </row>
    <row r="111" spans="1:27">
      <c r="P111" t="s">
        <v>25</v>
      </c>
    </row>
    <row r="112" spans="1:27">
      <c r="P112" t="s">
        <v>25</v>
      </c>
    </row>
    <row r="113" spans="15:19">
      <c r="O113" t="s">
        <v>25</v>
      </c>
      <c r="P113" t="s">
        <v>25</v>
      </c>
    </row>
    <row r="114" spans="15:19">
      <c r="P114" t="s">
        <v>25</v>
      </c>
      <c r="Q114" t="s">
        <v>25</v>
      </c>
    </row>
    <row r="115" spans="15:19" ht="27" customHeight="1">
      <c r="R115" t="s">
        <v>25</v>
      </c>
    </row>
    <row r="116" spans="15:19">
      <c r="Q116" t="s">
        <v>25</v>
      </c>
      <c r="R116" t="s">
        <v>25</v>
      </c>
    </row>
    <row r="117" spans="15:19">
      <c r="R117" s="283" t="s">
        <v>5658</v>
      </c>
    </row>
    <row r="118" spans="15:19">
      <c r="P118" t="s">
        <v>25</v>
      </c>
      <c r="Q118" t="s">
        <v>25</v>
      </c>
      <c r="R118" t="s">
        <v>25</v>
      </c>
    </row>
    <row r="119" spans="15:19">
      <c r="P119" t="s">
        <v>25</v>
      </c>
      <c r="R119" t="s">
        <v>25</v>
      </c>
    </row>
    <row r="120" spans="15:19">
      <c r="R120" t="s">
        <v>25</v>
      </c>
    </row>
    <row r="122" spans="15:19">
      <c r="P122" t="s">
        <v>25</v>
      </c>
    </row>
    <row r="123" spans="15:19">
      <c r="R123" t="s">
        <v>25</v>
      </c>
      <c r="S123" t="s">
        <v>25</v>
      </c>
    </row>
    <row r="124" spans="15:19">
      <c r="P124" t="s">
        <v>25</v>
      </c>
      <c r="R124" t="s">
        <v>25</v>
      </c>
      <c r="S124" t="s">
        <v>25</v>
      </c>
    </row>
    <row r="125" spans="15:19">
      <c r="P125" t="s">
        <v>25</v>
      </c>
      <c r="S125" t="s">
        <v>25</v>
      </c>
    </row>
    <row r="126" spans="15:19">
      <c r="O126" t="s">
        <v>25</v>
      </c>
      <c r="P126" s="94" t="s">
        <v>25</v>
      </c>
      <c r="S126" t="s">
        <v>25</v>
      </c>
    </row>
    <row r="127" spans="15:19">
      <c r="Q127" t="s">
        <v>25</v>
      </c>
      <c r="R127" t="s">
        <v>25</v>
      </c>
      <c r="S127" t="s">
        <v>25</v>
      </c>
    </row>
    <row r="128" spans="15:19">
      <c r="O128" s="94"/>
      <c r="P128" t="s">
        <v>25</v>
      </c>
      <c r="Q128" t="s">
        <v>25</v>
      </c>
    </row>
    <row r="129" spans="15:21">
      <c r="O129" s="94"/>
      <c r="P129" t="s">
        <v>25</v>
      </c>
      <c r="R129" t="s">
        <v>25</v>
      </c>
    </row>
    <row r="130" spans="15:21">
      <c r="O130" s="94" t="s">
        <v>25</v>
      </c>
      <c r="S130" t="s">
        <v>25</v>
      </c>
      <c r="T130" t="s">
        <v>25</v>
      </c>
    </row>
    <row r="131" spans="15:21">
      <c r="O131" t="s">
        <v>25</v>
      </c>
      <c r="Q131" t="s">
        <v>25</v>
      </c>
      <c r="R131" t="s">
        <v>25</v>
      </c>
      <c r="S131" t="s">
        <v>25</v>
      </c>
    </row>
    <row r="132" spans="15:21">
      <c r="Q132" t="s">
        <v>25</v>
      </c>
      <c r="R132" t="s">
        <v>25</v>
      </c>
    </row>
    <row r="133" spans="15:21">
      <c r="R133" t="s">
        <v>25</v>
      </c>
      <c r="S133" t="s">
        <v>25</v>
      </c>
    </row>
    <row r="134" spans="15:21">
      <c r="P134" s="94" t="s">
        <v>5507</v>
      </c>
      <c r="Q134" t="s">
        <v>25</v>
      </c>
    </row>
    <row r="135" spans="15:21">
      <c r="P135" s="94" t="s">
        <v>5508</v>
      </c>
    </row>
    <row r="136" spans="15:21">
      <c r="P136" s="94" t="s">
        <v>5509</v>
      </c>
      <c r="R136" t="s">
        <v>25</v>
      </c>
    </row>
    <row r="137" spans="15:21">
      <c r="O137" t="s">
        <v>25</v>
      </c>
      <c r="P137" s="94" t="s">
        <v>5510</v>
      </c>
      <c r="S137" t="s">
        <v>25</v>
      </c>
    </row>
    <row r="138" spans="15:21">
      <c r="P138" s="94" t="s">
        <v>5511</v>
      </c>
      <c r="R138" t="s">
        <v>25</v>
      </c>
    </row>
    <row r="139" spans="15:21">
      <c r="P139" s="94" t="s">
        <v>5512</v>
      </c>
      <c r="U139" t="s">
        <v>25</v>
      </c>
    </row>
    <row r="140" spans="15:21">
      <c r="O140" s="94"/>
      <c r="R140" t="s">
        <v>25</v>
      </c>
    </row>
    <row r="141" spans="15:21">
      <c r="O141" s="94"/>
      <c r="P141" t="s">
        <v>25</v>
      </c>
      <c r="R141" t="s">
        <v>25</v>
      </c>
      <c r="S141" t="s">
        <v>25</v>
      </c>
    </row>
    <row r="142" spans="15:21">
      <c r="O142" s="94"/>
      <c r="Q142" t="s">
        <v>25</v>
      </c>
      <c r="R142" t="s">
        <v>25</v>
      </c>
    </row>
    <row r="143" spans="15:21">
      <c r="O143" s="94"/>
      <c r="P143" t="s">
        <v>25</v>
      </c>
      <c r="R143" t="s">
        <v>25</v>
      </c>
    </row>
    <row r="144" spans="15:21">
      <c r="O144" t="s">
        <v>25</v>
      </c>
    </row>
    <row r="145" spans="15:18">
      <c r="P145" t="s">
        <v>25</v>
      </c>
    </row>
    <row r="146" spans="15:18">
      <c r="P146" t="s">
        <v>25</v>
      </c>
    </row>
    <row r="147" spans="15:18">
      <c r="O147" t="s">
        <v>25</v>
      </c>
    </row>
    <row r="148" spans="15:18">
      <c r="O148" s="94"/>
    </row>
    <row r="149" spans="15:18">
      <c r="O149" s="94" t="s">
        <v>25</v>
      </c>
    </row>
    <row r="151" spans="15:18">
      <c r="O151" t="s">
        <v>25</v>
      </c>
      <c r="P151" t="s">
        <v>25</v>
      </c>
      <c r="Q151" t="s">
        <v>25</v>
      </c>
    </row>
    <row r="152" spans="15:18">
      <c r="O152" t="s">
        <v>25</v>
      </c>
      <c r="Q152" t="s">
        <v>25</v>
      </c>
    </row>
    <row r="153" spans="15:18">
      <c r="O153" t="s">
        <v>25</v>
      </c>
    </row>
    <row r="156" spans="15:18">
      <c r="R156" t="s">
        <v>25</v>
      </c>
    </row>
    <row r="157" spans="15:18">
      <c r="P157" t="s">
        <v>25</v>
      </c>
    </row>
    <row r="165" spans="15:16">
      <c r="P165" t="s">
        <v>25</v>
      </c>
    </row>
    <row r="166" spans="15:16">
      <c r="P166" t="s">
        <v>25</v>
      </c>
    </row>
    <row r="168" spans="15:16">
      <c r="P168" t="s">
        <v>25</v>
      </c>
    </row>
    <row r="169" spans="15:16">
      <c r="O169" t="s">
        <v>25</v>
      </c>
    </row>
    <row r="179" spans="16:21">
      <c r="S179" t="s">
        <v>25</v>
      </c>
    </row>
    <row r="184" spans="16:21">
      <c r="P184" t="s">
        <v>25</v>
      </c>
    </row>
    <row r="192" spans="16:21">
      <c r="U192" t="s">
        <v>25</v>
      </c>
    </row>
    <row r="195" spans="16:17">
      <c r="P195" t="s">
        <v>25</v>
      </c>
      <c r="Q195" t="s">
        <v>25</v>
      </c>
    </row>
    <row r="204" spans="16:17">
      <c r="P204" t="s">
        <v>25</v>
      </c>
    </row>
    <row r="209" spans="15:16">
      <c r="O209" s="94"/>
    </row>
    <row r="210" spans="15:16">
      <c r="O210" s="94" t="s">
        <v>25</v>
      </c>
    </row>
    <row r="211" spans="15:16">
      <c r="O211" s="94"/>
      <c r="P211" t="s">
        <v>25</v>
      </c>
    </row>
    <row r="212" spans="15:16">
      <c r="O212" s="94" t="s">
        <v>25</v>
      </c>
    </row>
    <row r="213" spans="15:16">
      <c r="O213" s="94"/>
    </row>
    <row r="214" spans="15:16">
      <c r="O214" s="94"/>
    </row>
  </sheetData>
  <conditionalFormatting sqref="K57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0:K5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4: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5" t="s">
        <v>6506</v>
      </c>
      <c r="C1" s="445"/>
      <c r="D1" s="445" t="s">
        <v>6507</v>
      </c>
      <c r="E1" s="445"/>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6" t="s">
        <v>1071</v>
      </c>
      <c r="R21" s="446"/>
      <c r="S21" s="446"/>
      <c r="T21" s="446"/>
      <c r="U21" s="94"/>
      <c r="V21" s="94"/>
      <c r="W21" s="41" t="s">
        <v>4948</v>
      </c>
      <c r="X21" s="41">
        <v>9035210431</v>
      </c>
      <c r="Y21" s="41">
        <v>50</v>
      </c>
      <c r="Z21" s="41" t="s">
        <v>5210</v>
      </c>
      <c r="AA21" t="s">
        <v>4966</v>
      </c>
    </row>
    <row r="22" spans="5:35">
      <c r="O22" s="97"/>
      <c r="P22" s="97"/>
      <c r="Q22" s="446"/>
      <c r="R22" s="446"/>
      <c r="S22" s="446"/>
      <c r="T22" s="446"/>
      <c r="U22" s="94"/>
      <c r="V22" s="94"/>
      <c r="W22" s="41" t="s">
        <v>5035</v>
      </c>
      <c r="X22" s="41">
        <v>9909620343</v>
      </c>
      <c r="Y22" s="41">
        <v>200</v>
      </c>
      <c r="Z22" s="41" t="s">
        <v>5211</v>
      </c>
      <c r="AA22" t="s">
        <v>5214</v>
      </c>
      <c r="AB22" s="41" t="s">
        <v>5222</v>
      </c>
    </row>
    <row r="23" spans="5:35" ht="15.75">
      <c r="O23" s="176"/>
      <c r="P23" s="97" t="s">
        <v>4067</v>
      </c>
      <c r="Q23" s="447" t="s">
        <v>1072</v>
      </c>
      <c r="R23" s="448" t="s">
        <v>1073</v>
      </c>
      <c r="S23" s="447" t="s">
        <v>1074</v>
      </c>
      <c r="T23" s="449" t="s">
        <v>1075</v>
      </c>
      <c r="W23" s="41" t="s">
        <v>5036</v>
      </c>
      <c r="X23" s="41">
        <v>9378807702</v>
      </c>
      <c r="Y23" s="41">
        <v>0</v>
      </c>
      <c r="Z23" s="41">
        <v>0</v>
      </c>
      <c r="AD23" t="s">
        <v>25</v>
      </c>
    </row>
    <row r="24" spans="5:35">
      <c r="O24" s="97"/>
      <c r="P24" s="97"/>
      <c r="Q24" s="447"/>
      <c r="R24" s="448"/>
      <c r="S24" s="447"/>
      <c r="T24" s="44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1535</v>
      </c>
      <c r="H4" s="115">
        <f>C4*G4</f>
        <v>452825000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484525061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1535</v>
      </c>
      <c r="H19" s="115">
        <f>C19*G19</f>
        <v>19856760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321664188</v>
      </c>
    </row>
    <row r="26" spans="1:8">
      <c r="D26" t="s">
        <v>5391</v>
      </c>
      <c r="E26" s="112">
        <f>'خرید خانه'!H10+'خرید خانه'!H23-'خرید خانه'!D10-'خرید خانه'!D23</f>
        <v>504489249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2021-10-25T11:12:40Z</dcterms:modified>
</cp:coreProperties>
</file>