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B00584B-6455-4A97-90CD-E66A862086A9}"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9" i="18" l="1"/>
  <c r="I18" i="63" l="1"/>
  <c r="H18" i="63"/>
  <c r="G18" i="63"/>
  <c r="J18" i="63" l="1"/>
  <c r="K18" i="63" s="1"/>
  <c r="E46" i="18"/>
  <c r="M3" i="60" l="1"/>
  <c r="M4" i="60"/>
  <c r="M5" i="60"/>
  <c r="M6" i="60"/>
  <c r="M7" i="60"/>
  <c r="M8" i="60"/>
  <c r="M2" i="60"/>
  <c r="D34" i="18" l="1"/>
  <c r="B34" i="18" s="1"/>
  <c r="H37" i="18" l="1"/>
  <c r="H13" i="18" l="1"/>
  <c r="G15" i="63"/>
  <c r="H15" i="63"/>
  <c r="G14" i="63" l="1"/>
  <c r="H14" i="63"/>
  <c r="F31" i="18"/>
  <c r="B136" i="18"/>
  <c r="G13" i="63"/>
  <c r="H13" i="63"/>
  <c r="G12" i="63"/>
  <c r="H12" i="63"/>
  <c r="G11" i="63"/>
  <c r="H11" i="63"/>
  <c r="B134" i="18"/>
  <c r="H10" i="63" l="1"/>
  <c r="G10" i="63"/>
  <c r="D9" i="18"/>
  <c r="J40" i="63"/>
  <c r="K40" i="63" s="1"/>
  <c r="L40" i="63" s="1"/>
  <c r="I2" i="63"/>
  <c r="H2" i="63"/>
  <c r="G2" i="63"/>
  <c r="H9" i="63"/>
  <c r="G9" i="63"/>
  <c r="M40" i="63" l="1"/>
  <c r="N40" i="63" s="1"/>
  <c r="O40" i="63" s="1"/>
  <c r="J2" i="63"/>
  <c r="K2" i="63" s="1"/>
  <c r="H8" i="63"/>
  <c r="G8" i="63"/>
  <c r="H7" i="63"/>
  <c r="G7" i="63"/>
  <c r="I1" i="63"/>
  <c r="H1" i="63"/>
  <c r="G1" i="63"/>
  <c r="P40" i="63" l="1"/>
  <c r="Q40" i="63"/>
  <c r="S40" i="63" s="1"/>
  <c r="J1" i="63"/>
  <c r="K1" i="63" s="1"/>
  <c r="J39" i="63"/>
  <c r="K39" i="63" s="1"/>
  <c r="L39" i="63" s="1"/>
  <c r="M39" i="63" l="1"/>
  <c r="N39" i="63" s="1"/>
  <c r="O39" i="63" s="1"/>
  <c r="R504" i="18"/>
  <c r="Q39" i="63" l="1"/>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1" i="63" l="1"/>
  <c r="K41" i="63" s="1"/>
  <c r="L41" i="63" s="1"/>
  <c r="M41" i="63" s="1"/>
  <c r="T23" i="63"/>
  <c r="N41" i="63" l="1"/>
  <c r="O41" i="63" s="1"/>
  <c r="Q41" i="63" l="1"/>
  <c r="S41" i="63" s="1"/>
  <c r="P41"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2" i="63"/>
  <c r="K42" i="63" s="1"/>
  <c r="L42" i="63" s="1"/>
  <c r="M42" i="63" l="1"/>
  <c r="N42" i="63" s="1"/>
  <c r="O42" i="63" s="1"/>
  <c r="B36" i="80"/>
  <c r="P42" i="63" l="1"/>
  <c r="Q42" i="63"/>
  <c r="S42"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3" i="63"/>
  <c r="K43" i="63" s="1"/>
  <c r="L43" i="63" s="1"/>
  <c r="M43"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3" i="63"/>
  <c r="O43"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3" i="63"/>
  <c r="Q43" i="63"/>
  <c r="S43" i="63" s="1"/>
  <c r="R499" i="18"/>
  <c r="C139" i="18" l="1"/>
  <c r="B135" i="18"/>
  <c r="B133" i="18"/>
  <c r="S20" i="63"/>
  <c r="R498" i="18" l="1"/>
  <c r="R497" i="18"/>
  <c r="R496" i="18" l="1"/>
  <c r="S26" i="63"/>
  <c r="S27" i="63"/>
  <c r="D22" i="18" l="1"/>
  <c r="B22" i="18" s="1"/>
  <c r="E29" i="80"/>
  <c r="E28" i="80"/>
  <c r="S46"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4" i="63" l="1"/>
  <c r="H74" i="63"/>
  <c r="I74" i="63"/>
  <c r="G75" i="63"/>
  <c r="H75" i="63"/>
  <c r="I75" i="63"/>
  <c r="H73" i="63"/>
  <c r="I73" i="63"/>
  <c r="G73" i="63"/>
  <c r="I72" i="63"/>
  <c r="G72" i="63"/>
  <c r="H72" i="63"/>
  <c r="J73" i="63" l="1"/>
  <c r="K73" i="63" s="1"/>
  <c r="J72" i="63"/>
  <c r="K72" i="63" s="1"/>
  <c r="J75" i="63"/>
  <c r="K75" i="63" s="1"/>
  <c r="J74" i="63"/>
  <c r="K74" i="63" s="1"/>
  <c r="R467" i="18"/>
  <c r="R461" i="18"/>
  <c r="K9" i="18"/>
  <c r="K10" i="18" s="1"/>
  <c r="H10" i="18"/>
  <c r="H9" i="18"/>
  <c r="R455" i="18"/>
  <c r="R454" i="18"/>
  <c r="R469" i="18" l="1"/>
  <c r="R468" i="18" l="1"/>
  <c r="I69" i="63"/>
  <c r="G69" i="63"/>
  <c r="H69" i="63"/>
  <c r="J69" i="63" l="1"/>
  <c r="K69" i="63" s="1"/>
  <c r="I71" i="63"/>
  <c r="G71" i="63" l="1"/>
  <c r="H71" i="63"/>
  <c r="J71" i="63" s="1"/>
  <c r="K71" i="63" s="1"/>
  <c r="I70" i="63"/>
  <c r="G70" i="63"/>
  <c r="H70" i="63"/>
  <c r="G66" i="63"/>
  <c r="H66" i="63"/>
  <c r="I66" i="63"/>
  <c r="I68" i="63"/>
  <c r="H68" i="63"/>
  <c r="G68" i="63"/>
  <c r="I65" i="63"/>
  <c r="J66" i="63" l="1"/>
  <c r="K66" i="63" s="1"/>
  <c r="J70" i="63"/>
  <c r="K70" i="63" s="1"/>
  <c r="J68" i="63"/>
  <c r="K68" i="63" s="1"/>
  <c r="G65" i="63" l="1"/>
  <c r="H65" i="63"/>
  <c r="J65" i="63" s="1"/>
  <c r="K65" i="63" s="1"/>
  <c r="I63" i="63"/>
  <c r="H63" i="63"/>
  <c r="G63" i="63"/>
  <c r="I60" i="63"/>
  <c r="H60" i="63"/>
  <c r="G60" i="63"/>
  <c r="I61" i="63"/>
  <c r="I64" i="63"/>
  <c r="I67" i="63"/>
  <c r="H61" i="63"/>
  <c r="H64" i="63"/>
  <c r="G61" i="63"/>
  <c r="G64" i="63"/>
  <c r="G67" i="63"/>
  <c r="H67" i="63"/>
  <c r="I62" i="63"/>
  <c r="I55" i="63"/>
  <c r="I76" i="63"/>
  <c r="G76" i="63"/>
  <c r="I59" i="63"/>
  <c r="G59" i="63"/>
  <c r="H59" i="63"/>
  <c r="J60" i="63" l="1"/>
  <c r="K60" i="63" s="1"/>
  <c r="J61" i="63"/>
  <c r="K61" i="63" s="1"/>
  <c r="J63" i="63"/>
  <c r="K63" i="63" s="1"/>
  <c r="J67" i="63"/>
  <c r="K67" i="63" s="1"/>
  <c r="J64" i="63"/>
  <c r="K64" i="63" s="1"/>
  <c r="J59" i="63"/>
  <c r="K59" i="63" s="1"/>
  <c r="I58" i="63"/>
  <c r="R466" i="18"/>
  <c r="G57" i="63" l="1"/>
  <c r="H57" i="63"/>
  <c r="I57" i="63"/>
  <c r="G58" i="63"/>
  <c r="H58" i="63"/>
  <c r="G62" i="63"/>
  <c r="H62" i="63"/>
  <c r="H76" i="63"/>
  <c r="I56" i="63"/>
  <c r="H56" i="63"/>
  <c r="G56" i="63"/>
  <c r="H55" i="63"/>
  <c r="G55" i="63"/>
  <c r="J76" i="63" l="1"/>
  <c r="K76" i="63" s="1"/>
  <c r="J57" i="63"/>
  <c r="K57" i="63" s="1"/>
  <c r="J55" i="63"/>
  <c r="K55" i="63" s="1"/>
  <c r="J62" i="63"/>
  <c r="K62" i="63" s="1"/>
  <c r="J56" i="63"/>
  <c r="K56" i="63" s="1"/>
  <c r="J58" i="63"/>
  <c r="K58"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79" i="63" l="1"/>
  <c r="H79" i="63"/>
  <c r="I79" i="63"/>
  <c r="G82" i="63"/>
  <c r="H82" i="63"/>
  <c r="I82" i="63"/>
  <c r="J82" i="63" l="1"/>
  <c r="K82" i="63" s="1"/>
  <c r="J79" i="63"/>
  <c r="K79" i="63" s="1"/>
  <c r="R458" i="18"/>
  <c r="R457" i="18" l="1"/>
  <c r="I4" i="60" l="1"/>
  <c r="I3" i="60"/>
  <c r="B9" i="18" l="1"/>
  <c r="I18" i="60"/>
  <c r="G52" i="63" l="1"/>
  <c r="I52" i="63"/>
  <c r="H52" i="63"/>
  <c r="J52" i="63" l="1"/>
  <c r="K5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7" i="63"/>
  <c r="I108" i="63"/>
  <c r="G108" i="63"/>
  <c r="H108" i="63"/>
  <c r="G107" i="63"/>
  <c r="H107" i="63"/>
  <c r="J108" i="63" l="1"/>
  <c r="K108" i="63" s="1"/>
  <c r="J107" i="63"/>
  <c r="K10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6" i="63"/>
  <c r="H106" i="63"/>
  <c r="I104" i="63"/>
  <c r="I105" i="63"/>
  <c r="I106" i="63"/>
  <c r="I110" i="63"/>
  <c r="J110" i="63" s="1"/>
  <c r="K110" i="63" s="1"/>
  <c r="G105" i="63"/>
  <c r="H105" i="63"/>
  <c r="D7" i="18"/>
  <c r="J106" i="63" l="1"/>
  <c r="K106" i="63" s="1"/>
  <c r="J105" i="63"/>
  <c r="K105" i="63" s="1"/>
  <c r="I103" i="63"/>
  <c r="G104" i="63"/>
  <c r="H104" i="63"/>
  <c r="I101" i="63"/>
  <c r="I102" i="63"/>
  <c r="G103" i="63"/>
  <c r="H103" i="63"/>
  <c r="J104" i="63" l="1"/>
  <c r="K104" i="63" s="1"/>
  <c r="J103" i="63"/>
  <c r="K103" i="63" s="1"/>
  <c r="R435" i="18" l="1"/>
  <c r="H101" i="63"/>
  <c r="H102" i="63"/>
  <c r="G102" i="63"/>
  <c r="J102" i="63" l="1"/>
  <c r="K102" i="63" s="1"/>
  <c r="J101" i="63"/>
  <c r="K10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J94" i="63" l="1"/>
  <c r="K94" i="63" s="1"/>
  <c r="J93" i="63"/>
  <c r="K93" i="63" s="1"/>
  <c r="J88" i="63"/>
  <c r="K88" i="63" s="1"/>
  <c r="J87" i="63"/>
  <c r="K87" i="63" s="1"/>
  <c r="J84" i="63"/>
  <c r="K84" i="63" s="1"/>
  <c r="J96" i="63"/>
  <c r="K96" i="63" s="1"/>
  <c r="J95" i="63"/>
  <c r="K95" i="63" s="1"/>
  <c r="J90" i="63"/>
  <c r="K90" i="63" s="1"/>
  <c r="J89" i="63"/>
  <c r="K89" i="63" s="1"/>
  <c r="J97" i="63"/>
  <c r="K97" i="63" s="1"/>
  <c r="J92" i="63"/>
  <c r="K92" i="63" s="1"/>
  <c r="J91" i="63"/>
  <c r="K91" i="63" s="1"/>
  <c r="J86" i="63"/>
  <c r="K86" i="63" s="1"/>
  <c r="J98" i="63"/>
  <c r="K98" i="63" s="1"/>
  <c r="J100" i="63"/>
  <c r="K100" i="63" s="1"/>
  <c r="J99" i="63"/>
  <c r="K99" i="63" s="1"/>
  <c r="J85" i="63"/>
  <c r="K85" i="63" s="1"/>
  <c r="G83" i="63"/>
  <c r="H83" i="63"/>
  <c r="I83" i="63"/>
  <c r="J83" i="63" l="1"/>
  <c r="K8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3" i="63"/>
  <c r="R373" i="18"/>
  <c r="D101" i="72" l="1"/>
  <c r="E102" i="72"/>
  <c r="R372" i="18"/>
  <c r="D100" i="72" l="1"/>
  <c r="E101" i="72"/>
  <c r="E100" i="72" l="1"/>
  <c r="D99" i="72"/>
  <c r="E99" i="72" l="1"/>
  <c r="D98" i="72"/>
  <c r="E98" i="72" l="1"/>
  <c r="D97" i="72"/>
  <c r="D132" i="63"/>
  <c r="E132" i="63"/>
  <c r="G132" i="63" s="1"/>
  <c r="D133" i="63"/>
  <c r="G133" i="63"/>
  <c r="D134" i="63"/>
  <c r="E134" i="63"/>
  <c r="G134" i="63" s="1"/>
  <c r="D135" i="63"/>
  <c r="E135" i="63"/>
  <c r="G135" i="63" s="1"/>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D151" i="63"/>
  <c r="E151" i="63"/>
  <c r="D152" i="63"/>
  <c r="E152" i="63"/>
  <c r="D153" i="63"/>
  <c r="E153" i="63"/>
  <c r="E131" i="63"/>
  <c r="G131" i="63" s="1"/>
  <c r="D13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s="1"/>
  <c r="H2" i="18" l="1"/>
  <c r="H17" i="18" s="1"/>
  <c r="J55" i="18"/>
  <c r="K55" i="18" s="1"/>
  <c r="AL515" i="18"/>
  <c r="AL516" i="18" s="1"/>
  <c r="AO94" i="18"/>
  <c r="AN93" i="18"/>
  <c r="AN311" i="18"/>
  <c r="AO312" i="18"/>
  <c r="E34" i="18" l="1"/>
  <c r="E45" i="18"/>
  <c r="E33" i="18"/>
  <c r="E30" i="18"/>
  <c r="E29" i="18"/>
  <c r="E31"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<sst xmlns="http://schemas.openxmlformats.org/spreadsheetml/2006/main" count="17010" uniqueCount="7050">
  <si>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</si>
  <si>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</si>
  <si>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</si>
  <si>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</si>
  <si>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</si>
  <si>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</si>
  <si>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</si>
  <si>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</si>
  <si>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</si>
  <si>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</si>
  <si>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</si>
  <si>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</si>
  <si>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</si>
  <si>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</si>
  <si>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</si>
  <si>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</si>
  <si>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</si>
  <si>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</si>
  <si>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</si>
  <si>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</si>
  <si>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</si>
  <si>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</si>
  <si>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</si>
  <si>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</si>
  <si>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</si>
  <si>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</si>
  <si>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</si>
  <si>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</si>
  <si>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</si>
  <si>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</si>
  <si>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</si>
  <si>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</si>
  <si>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</si>
  <si>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</si>
  <si>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</si>
  <si>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</si>
  <si>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</si>
  <si>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</si>
  <si>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</si>
  <si>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</si>
  <si>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</si>
  <si>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</si>
  <si>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</si>
  <si>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</si>
  <si>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</si>
  <si>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</si>
  <si>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</si>
  <si>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</si>
  <si>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</si>
  <si>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</si>
  <si>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</si>
  <si>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</si>
  <si>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</si>
  <si>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</si>
  <si>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</si>
  <si>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</si>
  <si>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</si>
  <si>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</si>
  <si>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</si>
  <si>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</si>
  <si>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</si>
  <si>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</si>
  <si>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</si>
  <si>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</si>
  <si>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</si>
  <si>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</si>
  <si>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</si>
  <si>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</si>
  <si>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</si>
  <si>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</si>
  <si>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</si>
  <si>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</si>
  <si>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</si>
  <si>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</si>
  <si>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</si>
  <si>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</si>
  <si>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</si>
  <si>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</si>
  <si>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</si>
  <si>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</si>
  <si>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</si>
  <si>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</si>
  <si>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</si>
  <si>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</si>
  <si>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</si>
  <si>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</si>
  <si>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</si>
  <si>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</si>
  <si>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</si>
  <si>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</si>
  <si>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</si>
  <si>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</si>
  <si>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</si>
  <si>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</si>
  <si>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</si>
  <si>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</si>
  <si>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</si>
  <si>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</si>
  <si>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</si>
  <si>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</si>
  <si>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</si>
  <si>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</si>
  <si>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</si>
  <si>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</si>
  <si>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</si>
  <si>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</si>
  <si>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</si>
  <si>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</si>
  <si>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</si>
  <si>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</si>
  <si>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</si>
  <si>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</si>
  <si>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</si>
  <si>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</si>
  <si>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</si>
  <si>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</si>
  <si>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</si>
  <si>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</si>
  <si>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</si>
  <si>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</si>
  <si>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</si>
  <si>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</si>
  <si>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</si>
  <si>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</si>
  <si>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</si>
  <si>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</si>
  <si>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</si>
  <si>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</si>
  <si>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</si>
  <si>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</si>
  <si>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</si>
  <si>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</si>
  <si>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</si>
  <si>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</si>
  <si>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</si>
  <si>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</si>
  <si>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</si>
  <si>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</si>
  <si>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</si>
  <si>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</si>
  <si>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</si>
  <si>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</si>
  <si>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</si>
  <si>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</si>
  <si>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</si>
  <si>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</si>
  <si>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</si>
  <si>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</si>
  <si>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</si>
  <si>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</si>
  <si>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</si>
  <si>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</si>
  <si>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</si>
  <si>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</si>
  <si>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</si>
  <si>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</si>
  <si>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</si>
  <si>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</si>
  <si>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</si>
  <si>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</si>
  <si>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</si>
  <si>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</si>
  <si>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</si>
  <si>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</si>
  <si>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</si>
  <si>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</si>
  <si>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</si>
  <si>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</si>
  <si>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</si>
  <si>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</si>
  <si>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</si>
  <si>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</si>
  <si>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</si>
  <si>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</si>
  <si>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</si>
  <si>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</si>
  <si>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</si>
  <si>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</si>
  <si>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</si>
  <si>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</si>
  <si>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</si>
  <si>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</si>
  <si>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</si>
  <si>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</si>
  <si>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</si>
  <si>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</si>
  <si>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</si>
  <si>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</si>
  <si>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</si>
  <si>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</si>
  <si>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</si>
  <si>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</si>
  <si>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</si>
  <si>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</si>
  <si>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</si>
  <si>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</si>
  <si>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</si>
  <si>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</si>
  <si>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</si>
  <si>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</si>
  <si>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</si>
  <si>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</si>
  <si>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</si>
  <si>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</si>
  <si>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</si>
  <si>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</si>
  <si>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</si>
  <si>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</si>
  <si>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</si>
  <si>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</si>
  <si>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</si>
  <si>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</si>
  <si>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</si>
  <si>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</si>
  <si>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</si>
  <si>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</si>
  <si>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</si>
  <si>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</si>
  <si>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</si>
  <si>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</si>
  <si>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</si>
  <si>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</si>
  <si>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</si>
  <si>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</si>
  <si>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</si>
  <si>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</si>
  <si>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</si>
  <si>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</si>
  <si>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</si>
  <si>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</si>
  <si>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</si>
  <si>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</si>
  <si>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</si>
  <si>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</si>
  <si>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</si>
  <si>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</si>
  <si>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</si>
  <si>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</si>
  <si>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</si>
  <si>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</si>
  <si>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</si>
  <si>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</si>
  <si>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</si>
  <si>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</si>
  <si>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</si>
  <si>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</si>
  <si>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</si>
  <si>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</si>
  <si>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</si>
  <si>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</si>
  <si>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</si>
  <si>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</si>
  <si>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</si>
  <si>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</si>
  <si>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</si>
  <si>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</si>
  <si>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</si>
  <si>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</si>
  <si>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</si>
  <si>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</si>
  <si>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</si>
  <si>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</si>
  <si>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</si>
  <si>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</si>
  <si>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</si>
  <si>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</si>
  <si>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</si>
  <si>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</si>
  <si>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</si>
  <si>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</si>
  <si>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</si>
  <si>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</si>
  <si>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</si>
  <si>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</si>
  <si>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</si>
  <si>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</si>
  <si>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</si>
  <si>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</si>
  <si>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</si>
  <si>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</si>
  <si>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</si>
  <si>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</si>
  <si>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</si>
  <si>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</si>
  <si>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</si>
  <si>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</si>
  <si>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</si>
  <si>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</si>
  <si>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</si>
  <si>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</si>
  <si>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</si>
  <si>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</si>
  <si>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</si>
  <si>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</si>
  <si>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</si>
  <si>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</si>
  <si>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</si>
  <si>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</si>
  <si>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</si>
  <si>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</si>
  <si>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</si>
  <si>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</si>
  <si>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</si>
  <si>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</si>
  <si>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</si>
  <si>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</si>
  <si>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</si>
  <si>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</si>
  <si>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</si>
  <si>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</si>
  <si>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</si>
  <si>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</si>
  <si>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</si>
  <si>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</si>
  <si>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</si>
  <si>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</si>
  <si>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</si>
  <si>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</si>
  <si>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</si>
  <si>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</si>
  <si>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</si>
  <si>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</si>
  <si>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</si>
  <si>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</si>
  <si>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</si>
  <si>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</si>
  <si>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</si>
  <si>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</si>
  <si>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</si>
  <si>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</si>
  <si>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</si>
  <si>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</si>
  <si>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</si>
  <si>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</si>
  <si>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</si>
  <si>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</si>
  <si>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</si>
  <si>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</si>
  <si>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</si>
  <si>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</si>
  <si>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</si>
  <si>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</si>
  <si>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</si>
  <si>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</si>
  <si>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</si>
  <si>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</si>
  <si>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</si>
  <si>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</si>
  <si>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</si>
  <si>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</si>
  <si>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</si>
  <si>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</si>
  <si>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</si>
  <si>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</si>
  <si>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</si>
  <si>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</si>
  <si>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</si>
  <si>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</si>
  <si>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</si>
  <si>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</si>
  <si>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</si>
  <si>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</si>
  <si>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</si>
  <si>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</si>
  <si>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</si>
  <si>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</si>
  <si>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</si>
  <si>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</si>
  <si>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</si>
  <si>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</si>
  <si>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</si>
  <si>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</si>
  <si>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</si>
  <si>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</si>
  <si>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</si>
  <si>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</si>
  <si>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</si>
  <si>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</si>
  <si>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</si>
  <si>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</si>
  <si>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</si>
  <si>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</si>
  <si>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</si>
  <si>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</si>
  <si>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</si>
  <si>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</si>
  <si>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</si>
  <si>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</si>
  <si>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</si>
  <si>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</si>
  <si>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</si>
  <si>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</si>
  <si>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</si>
  <si>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</si>
  <si>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</si>
  <si>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</si>
  <si>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</si>
  <si>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</si>
  <si>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</si>
  <si>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</si>
  <si>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</si>
  <si>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</si>
  <si>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</si>
  <si>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</si>
  <si>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</si>
  <si>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</si>
  <si>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</si>
  <si>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</si>
  <si>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</si>
  <si>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</si>
  <si>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</si>
  <si>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</si>
  <si>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</si>
  <si>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</si>
  <si>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</si>
  <si>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</si>
  <si>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</si>
  <si>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</si>
  <si>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</si>
  <si>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</si>
  <si>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</si>
  <si>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</si>
  <si>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</si>
  <si>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</si>
  <si>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</si>
  <si>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</si>
  <si>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</si>
  <si>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</si>
  <si>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</si>
  <si>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</si>
  <si>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</si>
  <si>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</si>
  <si>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</si>
  <si>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</si>
  <si>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</si>
  <si>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</si>
  <si>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</si>
  <si>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</si>
  <si>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</si>
  <si>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</si>
  <si>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</si>
  <si>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</si>
  <si>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</si>
  <si>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</si>
  <si>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</si>
  <si>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</si>
  <si>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</si>
  <si>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</si>
  <si>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</si>
  <si>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</si>
  <si>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</si>
  <si>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</si>
  <si>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</si>
  <si>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</si>
  <si>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</si>
  <si>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</si>
  <si>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</si>
  <si>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</si>
  <si>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</si>
  <si>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</si>
  <si>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</si>
  <si>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</si>
  <si>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</si>
  <si>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</si>
  <si>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</si>
  <si>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</si>
  <si>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</si>
  <si>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</si>
  <si>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</si>
  <si>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</si>
  <si>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</si>
  <si>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</si>
  <si>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</si>
  <si>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</si>
  <si>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</si>
  <si>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</si>
  <si>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</si>
  <si>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</si>
  <si>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</si>
  <si>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</si>
  <si>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</si>
  <si>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</si>
  <si>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</si>
  <si>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</si>
  <si>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</si>
  <si>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</si>
  <si>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</si>
  <si>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</si>
  <si>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</si>
  <si>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</si>
  <si>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</si>
  <si>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</si>
  <si>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</si>
  <si>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</si>
  <si>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</si>
  <si>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</si>
  <si>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</si>
  <si>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</si>
  <si>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</si>
  <si>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</si>
  <si>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</si>
  <si>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</si>
  <si>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</si>
  <si>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</si>
  <si>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</si>
  <si>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</si>
  <si>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</si>
  <si>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</si>
  <si>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</si>
  <si>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</si>
  <si>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</si>
  <si>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</si>
  <si>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</si>
  <si>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</si>
  <si>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</si>
  <si>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</si>
  <si>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</si>
  <si>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</si>
  <si>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</si>
  <si>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</si>
  <si>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</si>
  <si>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</si>
  <si>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</si>
  <si>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</si>
  <si>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</si>
  <si>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</si>
  <si>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</si>
  <si>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</si>
  <si>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</si>
  <si>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</si>
  <si>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</si>
  <si>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</si>
  <si>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</si>
  <si>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</si>
  <si>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</si>
  <si>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</si>
  <si>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</si>
  <si>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</si>
  <si>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</si>
  <si>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</si>
  <si>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</si>
  <si>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</si>
  <si>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</si>
  <si>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</si>
  <si>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</si>
  <si>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</si>
  <si>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</si>
  <si>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</si>
  <si>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</si>
  <si>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</si>
  <si>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</si>
  <si>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</si>
  <si>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</si>
  <si>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</si>
  <si>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</si>
  <si>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</si>
  <si>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</si>
  <si>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</si>
  <si>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</si>
  <si>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</si>
  <si>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</si>
  <si>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</si>
  <si>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</si>
  <si>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</si>
  <si>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</si>
  <si>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</si>
  <si>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</si>
  <si>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</si>
  <si>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</si>
  <si>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</si>
  <si>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</si>
  <si>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</si>
  <si>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</si>
  <si>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</si>
  <si>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</si>
  <si>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</si>
  <si>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</si>
  <si>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</si>
  <si>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</si>
  <si>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</si>
  <si>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</si>
  <si>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</si>
  <si>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</si>
  <si>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</si>
  <si>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</si>
  <si>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</si>
  <si>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</si>
  <si>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</si>
  <si>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</si>
  <si>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</si>
  <si>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</si>
  <si>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</si>
  <si>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</si>
  <si>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</si>
  <si>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</si>
  <si>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</si>
  <si>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</si>
  <si>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</si>
  <si>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</si>
  <si>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</si>
  <si>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</si>
  <si>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</si>
  <si>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</si>
  <si>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</si>
  <si>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</si>
  <si>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</si>
  <si>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</si>
  <si>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</si>
  <si>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</si>
  <si>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</si>
  <si>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</si>
  <si>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</si>
  <si>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</si>
  <si>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</si>
  <si>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</si>
  <si>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</si>
  <si>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</si>
  <si>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</si>
  <si>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</si>
  <si>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</si>
  <si>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</si>
  <si>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</si>
  <si>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</si>
  <si>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</si>
  <si>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</si>
  <si>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</si>
  <si>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</si>
  <si>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</si>
  <si>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</si>
  <si>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</si>
  <si>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</si>
  <si>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</si>
  <si>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</si>
  <si>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</si>
  <si>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</si>
  <si>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</si>
  <si>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</si>
  <si>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</si>
  <si>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</si>
  <si>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</si>
  <si>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</si>
  <si>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</si>
  <si>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</si>
  <si>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</si>
  <si>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</si>
  <si>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</si>
  <si>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</si>
  <si>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</si>
  <si>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</si>
  <si>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</si>
  <si>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</si>
  <si>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</si>
  <si>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</si>
  <si>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</si>
  <si>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</si>
  <si>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</si>
  <si>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</si>
  <si>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</si>
  <si>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</si>
  <si>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</si>
  <si>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</si>
  <si>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</si>
  <si>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</si>
  <si>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</si>
  <si>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</si>
  <si>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</si>
  <si>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</si>
  <si>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</si>
  <si>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</si>
  <si>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</si>
  <si>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</si>
  <si>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</si>
  <si>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</si>
  <si>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</si>
  <si>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</si>
  <si>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</si>
  <si>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</si>
  <si>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</si>
  <si>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</si>
  <si>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</si>
  <si>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</si>
  <si>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</si>
  <si>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</si>
  <si>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</si>
  <si>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</si>
  <si>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</si>
  <si>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</si>
  <si>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</si>
  <si>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</si>
  <si>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</si>
  <si>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</si>
  <si>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</si>
  <si>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</si>
  <si>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</si>
  <si>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</si>
  <si>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</si>
  <si>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</si>
  <si>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</si>
  <si>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</si>
  <si>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</si>
  <si>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</si>
  <si>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</si>
  <si>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</si>
  <si>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</si>
  <si>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</si>
  <si>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</si>
  <si>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</si>
  <si>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</si>
  <si>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</si>
  <si>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</si>
  <si>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</si>
  <si>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</si>
  <si>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</si>
  <si>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</si>
  <si>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</si>
  <si>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</si>
  <si>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</si>
  <si>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</si>
  <si>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</si>
  <si>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</si>
  <si>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</si>
  <si>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</si>
  <si>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</si>
  <si>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</si>
  <si>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</si>
  <si>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</si>
  <si>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</si>
  <si>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</si>
  <si>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</si>
  <si>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</si>
  <si>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</si>
  <si>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</si>
  <si>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</si>
  <si>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</si>
  <si>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</si>
  <si>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</si>
  <si>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</si>
  <si>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</si>
  <si>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</si>
  <si>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</si>
  <si>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</si>
  <si>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</si>
  <si>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</si>
  <si>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</si>
  <si>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</si>
  <si>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</si>
  <si>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</si>
  <si>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</si>
  <si>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</si>
  <si>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</si>
  <si>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</si>
  <si>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</si>
  <si>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</si>
  <si>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</si>
  <si>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</si>
  <si>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</si>
  <si>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</si>
  <si>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</si>
  <si>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</si>
  <si>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</si>
  <si>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</si>
  <si>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</si>
  <si>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</si>
  <si>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</si>
  <si>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</si>
  <si>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</si>
  <si>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</si>
  <si>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</si>
  <si>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</si>
  <si>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</si>
  <si>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</si>
  <si>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</si>
  <si>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</si>
  <si>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</si>
  <si>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</si>
  <si>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</si>
  <si>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</si>
  <si>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</si>
  <si>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</si>
  <si>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</si>
  <si>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</si>
  <si>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</si>
  <si>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</si>
  <si>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</si>
  <si>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</si>
  <si>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</si>
  <si>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</si>
  <si>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</si>
  <si>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</si>
  <si>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</si>
  <si>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</si>
  <si>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</si>
  <si>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</si>
  <si>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</si>
  <si>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</si>
  <si>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</si>
  <si>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</si>
  <si>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</si>
  <si>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</si>
  <si>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</si>
  <si>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</si>
  <si>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</si>
  <si>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</si>
  <si>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</si>
  <si>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</si>
  <si>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</si>
  <si>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</si>
  <si>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</si>
  <si>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</si>
  <si>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</si>
  <si>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</si>
  <si>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</si>
  <si>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</si>
  <si>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</si>
  <si>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</si>
  <si>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</si>
  <si>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</si>
  <si>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</si>
  <si>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</si>
  <si>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</si>
  <si>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</si>
  <si>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</si>
  <si>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</si>
  <si>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</si>
  <si>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</si>
  <si>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</si>
  <si>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</si>
  <si>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</si>
  <si>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</si>
  <si>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</si>
  <si>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</si>
  <si>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</si>
  <si>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</si>
  <si>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</si>
  <si>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</si>
  <si>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</si>
  <si>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</si>
  <si>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</si>
  <si>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</si>
  <si>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</si>
  <si>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</si>
  <si>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</si>
  <si>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</si>
  <si>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</si>
  <si>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</si>
  <si>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</si>
  <si>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</si>
  <si>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</si>
  <si>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</si>
  <si>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</si>
  <si>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</si>
  <si>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</si>
  <si>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</si>
  <si>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</si>
  <si>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</si>
  <si>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</si>
  <si>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</si>
  <si>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</si>
  <si>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</si>
  <si>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</si>
  <si>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</si>
  <si>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</si>
  <si>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</si>
  <si>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</si>
  <si>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</si>
  <si>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</si>
  <si>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</si>
  <si>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</si>
  <si>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</si>
  <si>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</si>
  <si>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</si>
  <si>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</si>
  <si>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</si>
  <si>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</si>
  <si>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</si>
  <si>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</si>
  <si>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</si>
  <si>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</si>
  <si>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</si>
  <si>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</si>
  <si>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</si>
  <si>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</si>
  <si>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</si>
  <si>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</si>
  <si>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</si>
  <si>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</si>
  <si>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</si>
  <si>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</si>
  <si>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</si>
  <si>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</si>
  <si>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</si>
  <si>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</si>
  <si>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</si>
  <si>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</si>
  <si>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</si>
  <si>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</si>
  <si>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</si>
  <si>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</si>
  <si>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</si>
  <si>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</si>
  <si>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</si>
  <si>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</si>
  <si>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</si>
  <si>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</si>
  <si>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</si>
  <si>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</si>
  <si>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</si>
  <si>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</si>
  <si>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</si>
  <si>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</si>
  <si>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</si>
  <si>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</si>
  <si>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</si>
  <si>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</si>
  <si>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</si>
  <si>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</si>
  <si>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</si>
  <si>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</si>
  <si>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</si>
  <si>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</si>
  <si>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</si>
  <si>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</si>
  <si>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</si>
  <si>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</si>
  <si>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</si>
  <si>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</si>
  <si>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</si>
  <si>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</si>
  <si>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</si>
  <si>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</si>
  <si>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</si>
  <si>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</si>
  <si>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</si>
  <si>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</si>
  <si>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</si>
  <si>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</si>
  <si>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</si>
  <si>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</si>
  <si>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</si>
  <si>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</si>
  <si>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</si>
  <si>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</si>
  <si>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</si>
  <si>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</si>
  <si>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</si>
  <si>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</si>
  <si>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</si>
  <si>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</si>
  <si>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</si>
  <si>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</si>
  <si>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</si>
  <si>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</si>
  <si>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</si>
  <si>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</si>
  <si>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</si>
  <si>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</si>
  <si>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</si>
  <si>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</si>
  <si>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</si>
  <si>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</si>
  <si>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</si>
  <si>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</si>
  <si>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</si>
  <si>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</si>
  <si>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</si>
  <si>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</si>
  <si>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</si>
  <si>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</si>
  <si>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</si>
  <si>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</si>
  <si>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</si>
  <si>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</si>
  <si>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</si>
  <si>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</si>
  <si>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</si>
  <si>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</si>
  <si>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</si>
  <si>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</si>
  <si>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</si>
  <si>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</si>
  <si>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</si>
  <si>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</si>
  <si>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</si>
  <si>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</si>
  <si>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</si>
  <si>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</si>
  <si>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</si>
  <si>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</si>
  <si>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</si>
  <si>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</si>
  <si>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</si>
  <si>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</si>
  <si>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</si>
  <si>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</si>
  <si>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</si>
  <si>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</si>
  <si>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</si>
  <si>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</si>
  <si>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</si>
  <si>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</si>
  <si>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</si>
  <si>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</si>
  <si>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</si>
  <si>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</si>
  <si>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</si>
  <si>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</si>
  <si>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</si>
  <si>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</si>
  <si>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</si>
  <si>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</si>
  <si>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</si>
  <si>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</si>
  <si>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</si>
  <si>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</si>
  <si>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</si>
  <si>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</si>
  <si>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</si>
  <si>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</si>
  <si>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</si>
  <si>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</si>
  <si>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</si>
  <si>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</si>
  <si>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</si>
  <si>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</si>
  <si>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</si>
  <si>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</si>
  <si>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</si>
  <si>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</si>
  <si>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</si>
  <si>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</si>
  <si>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</si>
  <si>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</si>
  <si>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</si>
  <si>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</si>
  <si>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</si>
  <si>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</si>
  <si>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</si>
  <si>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</si>
  <si>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</si>
  <si>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</si>
  <si>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</si>
  <si>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</si>
  <si>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</si>
  <si>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</si>
  <si>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</si>
  <si>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</si>
  <si>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</si>
  <si>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</si>
  <si>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</si>
  <si>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</si>
  <si>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</si>
  <si>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</si>
  <si>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</si>
  <si>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</si>
  <si>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</si>
  <si>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</si>
  <si>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</si>
  <si>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</si>
  <si>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</si>
  <si>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</si>
  <si>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</si>
  <si>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</si>
  <si>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</si>
  <si>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</si>
  <si>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</si>
  <si>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</si>
  <si>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</si>
  <si>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</si>
  <si>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</si>
  <si>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</si>
  <si>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</si>
  <si>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</si>
  <si>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</si>
  <si>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</si>
  <si>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</si>
  <si>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</si>
  <si>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</si>
  <si>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</si>
  <si>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</si>
  <si>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</si>
  <si>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</si>
  <si>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</si>
  <si>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</si>
  <si>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</si>
  <si>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</si>
  <si>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</si>
  <si>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</si>
  <si>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</si>
  <si>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</si>
  <si>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</si>
  <si>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</si>
  <si>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</si>
  <si>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</si>
  <si>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</si>
  <si>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</si>
  <si>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</si>
  <si>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</si>
  <si>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</si>
  <si>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</si>
  <si>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</si>
  <si>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</si>
  <si>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</si>
  <si>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</si>
  <si>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</si>
  <si>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</si>
  <si>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</si>
  <si>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</si>
  <si>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</si>
  <si>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</si>
  <si>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</si>
  <si>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</si>
  <si>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</si>
  <si>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</si>
  <si>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</si>
  <si>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</si>
  <si>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</si>
  <si>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</si>
  <si>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</si>
  <si>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</si>
  <si>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</si>
  <si>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</si>
  <si>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</si>
  <si>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</si>
  <si>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</si>
  <si>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</si>
  <si>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</si>
  <si>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</si>
  <si>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</si>
  <si>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</si>
  <si>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</si>
  <si>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</si>
  <si>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</si>
  <si>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</si>
  <si>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</si>
  <si>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</si>
  <si>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</si>
  <si>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</si>
  <si>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</si>
  <si>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</si>
  <si>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</si>
  <si>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</si>
  <si>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</si>
  <si>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</si>
  <si>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</si>
  <si>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</si>
  <si>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</si>
  <si>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</si>
  <si>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</si>
  <si>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</si>
  <si>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</si>
  <si>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</si>
  <si>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</si>
  <si>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</si>
  <si>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</si>
  <si>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</si>
  <si>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</si>
  <si>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</si>
  <si>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</si>
  <si>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</si>
  <si>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</si>
  <si>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</si>
  <si>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</si>
  <si>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</si>
  <si>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</si>
  <si>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</si>
  <si>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</si>
  <si>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</si>
  <si>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</si>
  <si>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</si>
  <si>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</si>
  <si>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</si>
  <si>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</si>
  <si>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</si>
  <si>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</si>
  <si>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</si>
  <si>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</si>
  <si>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</si>
  <si>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</si>
  <si>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</si>
  <si>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</si>
  <si>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</si>
  <si>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</si>
  <si>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</si>
  <si>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</si>
  <si>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</si>
  <si>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</si>
  <si>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</si>
  <si>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</si>
  <si>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</si>
  <si>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</si>
  <si>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</si>
  <si>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</si>
  <si>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</si>
  <si>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</si>
  <si>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</si>
  <si>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</si>
  <si>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</si>
  <si>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</si>
  <si>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</si>
  <si>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</si>
  <si>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</si>
  <si>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</si>
  <si>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</si>
  <si>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</si>
  <si>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</si>
  <si>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</si>
  <si>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</si>
  <si>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</si>
  <si>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</si>
  <si>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</si>
  <si>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</si>
  <si>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</si>
  <si>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</si>
  <si>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</si>
  <si>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</si>
  <si>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</si>
  <si>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</si>
  <si>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</si>
  <si>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</si>
  <si>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</si>
  <si>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</si>
  <si>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</si>
  <si>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</si>
  <si>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</si>
  <si>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</si>
  <si>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</si>
  <si>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</si>
  <si>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</si>
  <si>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</si>
  <si>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</si>
  <si>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</si>
  <si>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</si>
  <si>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</si>
  <si>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</si>
  <si>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</si>
  <si>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</si>
  <si>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</si>
  <si>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</si>
  <si>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</si>
  <si>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</si>
  <si>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</si>
  <si>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</si>
  <si>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</si>
  <si>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</si>
  <si>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</si>
  <si>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</si>
  <si>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</si>
  <si>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</si>
  <si>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</si>
  <si>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</si>
  <si>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</si>
  <si>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</si>
  <si>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</si>
  <si>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</si>
  <si>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</si>
  <si>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</si>
  <si>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</si>
  <si>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</si>
  <si>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</si>
  <si>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</si>
  <si>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</si>
  <si>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</si>
  <si>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</si>
  <si>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</si>
  <si>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</si>
  <si>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</si>
  <si>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</si>
  <si>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</si>
  <si>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</si>
  <si>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</si>
  <si>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</si>
  <si>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</si>
  <si>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</si>
  <si>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</si>
  <si>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</si>
  <si>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</si>
  <si>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</si>
  <si>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</si>
  <si>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</si>
  <si>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</si>
  <si>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</si>
  <si>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</si>
  <si>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</si>
  <si>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</si>
  <si>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</si>
  <si>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</si>
  <si>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</si>
  <si>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</si>
  <si>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</si>
  <si>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</si>
  <si>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</si>
  <si>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</si>
  <si>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</si>
  <si>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</si>
  <si>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</si>
  <si>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</si>
  <si>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</si>
  <si>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</si>
  <si>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</si>
  <si>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</si>
  <si>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</si>
  <si>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</si>
  <si>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</si>
  <si>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</si>
  <si>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</si>
  <si>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</si>
  <si>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</si>
  <si>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</si>
  <si>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</si>
  <si>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</si>
  <si>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</si>
  <si>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</si>
  <si>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</si>
  <si>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</si>
  <si>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</si>
  <si>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</si>
  <si>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</si>
  <si>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</si>
  <si>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</si>
  <si>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</si>
  <si>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</si>
  <si>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</si>
  <si>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</si>
  <si>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</si>
  <si>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</si>
  <si>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</si>
  <si>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</si>
  <si>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</si>
  <si>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</si>
  <si>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</si>
  <si>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</si>
  <si>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</si>
  <si>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</si>
  <si>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</si>
  <si>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</si>
  <si>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</si>
  <si>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</si>
  <si>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</si>
  <si>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</si>
  <si>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</si>
  <si>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</si>
  <si>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</si>
  <si>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</si>
  <si>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</si>
  <si>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</si>
  <si>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</si>
  <si>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</si>
  <si>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</si>
  <si>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</si>
  <si>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</si>
  <si>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</si>
  <si>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</si>
  <si>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</si>
  <si>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</si>
  <si>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</si>
  <si>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</si>
  <si>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</si>
  <si>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</si>
  <si>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</si>
  <si>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</si>
  <si>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</si>
  <si>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</si>
  <si>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</si>
  <si>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</si>
  <si>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</si>
  <si>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</si>
  <si>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</si>
  <si>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</si>
  <si>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</si>
  <si>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</si>
  <si>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</si>
  <si>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</si>
  <si>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</si>
  <si>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</si>
  <si>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</si>
  <si>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</si>
  <si>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</si>
  <si>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</si>
  <si>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</si>
  <si>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</si>
  <si>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</si>
  <si>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</si>
  <si>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</si>
  <si>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</si>
  <si>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</si>
  <si>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</si>
  <si>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</si>
  <si>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</si>
  <si>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</si>
  <si>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</si>
  <si>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</si>
  <si>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</si>
  <si>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</si>
  <si>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</si>
  <si>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</si>
  <si>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</si>
  <si>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</si>
  <si>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</si>
  <si>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</si>
  <si>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</si>
  <si>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</si>
  <si>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</si>
  <si>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</si>
  <si>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</si>
  <si>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</si>
  <si>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</si>
  <si>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</si>
  <si>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</si>
  <si>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</si>
  <si>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</si>
  <si>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</si>
  <si>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</si>
  <si>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</si>
  <si>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</si>
  <si>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</si>
  <si>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</si>
  <si>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</si>
  <si>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</si>
  <si>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</si>
  <si>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</si>
  <si>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</si>
  <si>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</si>
  <si>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</si>
  <si>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</si>
  <si>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</si>
  <si>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</si>
  <si>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</si>
  <si>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</si>
  <si>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</si>
  <si>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</si>
  <si>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</si>
  <si>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</si>
  <si>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</si>
  <si>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</si>
  <si>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</si>
  <si>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</si>
  <si>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</si>
  <si>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</si>
  <si>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</si>
  <si>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</si>
  <si>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</si>
  <si>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</si>
  <si>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</si>
  <si>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</si>
  <si>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</si>
  <si>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</si>
  <si>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</si>
  <si>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</si>
  <si>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</si>
  <si>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</si>
  <si>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</si>
  <si>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</si>
  <si>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</si>
  <si>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</si>
  <si>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</si>
  <si>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</si>
  <si>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</si>
  <si>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</si>
  <si>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</si>
  <si>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</si>
  <si>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</si>
  <si>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</si>
  <si>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</si>
  <si>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</si>
  <si>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</si>
  <si>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</si>
  <si>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</si>
  <si>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</si>
  <si>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</si>
  <si>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</si>
  <si>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</si>
  <si>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</si>
  <si>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</si>
  <si>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</si>
  <si>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</si>
  <si>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</si>
  <si>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</si>
  <si>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</si>
  <si>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</si>
  <si>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</si>
  <si>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</si>
  <si>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</si>
  <si>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</si>
  <si>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</si>
  <si>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</si>
  <si>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</si>
  <si>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</si>
  <si>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</si>
  <si>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</si>
  <si>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</si>
  <si>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</si>
  <si>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</si>
  <si>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</si>
  <si>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</si>
  <si>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</si>
  <si>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</si>
  <si>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</si>
  <si>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</si>
  <si>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</si>
  <si>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</si>
  <si>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</si>
  <si>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</si>
  <si>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</si>
  <si>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</si>
  <si>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</si>
  <si>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</si>
  <si>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</si>
  <si>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</si>
  <si>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</si>
  <si>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</si>
  <si>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</si>
  <si>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</si>
  <si>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</si>
  <si>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</si>
  <si>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</si>
  <si>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</si>
  <si>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</si>
  <si>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</si>
  <si>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</si>
  <si>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</si>
  <si>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</si>
  <si>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</si>
  <si>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</si>
  <si>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</si>
  <si>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</si>
  <si>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</si>
  <si>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</si>
  <si>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</si>
  <si>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</si>
  <si>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</si>
  <si>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</si>
  <si>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</si>
  <si>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</si>
  <si>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</si>
  <si>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</si>
  <si>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</si>
  <si>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</si>
  <si>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</si>
  <si>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</si>
  <si>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</si>
  <si>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</si>
  <si>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</si>
  <si>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</si>
  <si>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</si>
  <si>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</si>
  <si>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</si>
  <si>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</si>
  <si>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</si>
  <si>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</si>
  <si>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</si>
  <si>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</si>
  <si>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</si>
  <si>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</si>
  <si>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</si>
  <si>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</si>
  <si>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</si>
  <si>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</si>
  <si>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</si>
  <si>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</si>
  <si>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</si>
  <si>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</si>
  <si>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</si>
  <si>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</si>
  <si>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</si>
  <si>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</si>
  <si>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</si>
  <si>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</si>
  <si>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</si>
  <si>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</si>
  <si>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</si>
  <si>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</si>
  <si>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</si>
  <si>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</si>
  <si>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</si>
  <si>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</si>
  <si>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</si>
  <si>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</si>
  <si>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</si>
  <si>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</si>
  <si>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</si>
  <si>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</si>
  <si>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</si>
  <si>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</si>
  <si>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</si>
  <si>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</si>
  <si>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</si>
  <si>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</si>
  <si>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</si>
  <si>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</si>
  <si>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</si>
  <si>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</si>
  <si>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</si>
  <si>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</si>
  <si>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</si>
  <si>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</si>
  <si>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</si>
  <si>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</si>
  <si>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</si>
  <si>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</si>
  <si>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</si>
  <si>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</si>
  <si>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</si>
  <si>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</si>
  <si>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</si>
  <si>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</si>
  <si>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</si>
  <si>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</si>
  <si>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</si>
  <si>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</si>
  <si>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</si>
  <si>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</si>
  <si>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</si>
  <si>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</si>
  <si>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</si>
  <si>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</si>
  <si>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</si>
  <si>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</si>
  <si>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</si>
  <si>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</si>
  <si>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</si>
  <si>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</si>
  <si>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</si>
  <si>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</si>
  <si>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</si>
  <si>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</si>
  <si>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</si>
  <si>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</si>
  <si>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</si>
  <si>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</si>
  <si>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</si>
  <si>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</si>
  <si>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</si>
  <si>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</si>
  <si>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</si>
  <si>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</si>
  <si>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</si>
  <si>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</si>
  <si>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</si>
  <si>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</si>
  <si>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</si>
  <si>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</si>
  <si>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</si>
  <si>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</si>
  <si>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</si>
  <si>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</si>
  <si>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</si>
  <si>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</si>
  <si>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</si>
  <si>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</si>
  <si>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</si>
  <si>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</si>
  <si>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</si>
  <si>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</si>
  <si>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</si>
  <si>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</si>
  <si>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</si>
  <si>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</si>
  <si>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</si>
  <si>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</si>
  <si>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</si>
  <si>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</si>
  <si>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</si>
  <si>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</si>
  <si>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</si>
  <si>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</si>
  <si>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</si>
  <si>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</si>
  <si>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</si>
  <si>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</si>
  <si>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</si>
  <si>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</si>
  <si>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</si>
  <si>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</si>
  <si>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</si>
  <si>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</si>
  <si>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</si>
  <si>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</si>
  <si>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</si>
  <si>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</si>
  <si>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</si>
  <si>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</si>
  <si>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</si>
  <si>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</si>
  <si>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</si>
  <si>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</si>
  <si>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</si>
  <si>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</si>
  <si>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</si>
  <si>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</si>
  <si>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</si>
  <si>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</si>
  <si>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</si>
  <si>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</si>
  <si>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</si>
  <si>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</si>
  <si>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</si>
  <si>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</si>
  <si>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</si>
  <si>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</si>
  <si>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</si>
  <si>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</si>
  <si>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</si>
  <si>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</si>
  <si>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</si>
  <si>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</si>
  <si>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</si>
  <si>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</si>
  <si>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</si>
  <si>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</si>
  <si>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</si>
  <si>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</si>
  <si>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</si>
  <si>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</si>
  <si>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</si>
  <si>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</si>
  <si>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</si>
  <si>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</si>
  <si>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</si>
  <si>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</si>
  <si>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</si>
  <si>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</si>
  <si>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</si>
  <si>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</si>
  <si>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</si>
  <si>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</si>
  <si>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</si>
  <si>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</si>
  <si>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</si>
  <si>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</si>
  <si>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</si>
  <si>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</si>
  <si>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</si>
  <si>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</si>
  <si>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</si>
  <si>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</si>
  <si>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</si>
  <si>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</si>
  <si>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</si>
  <si>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</si>
  <si>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</si>
  <si>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</si>
  <si>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</si>
  <si>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</si>
  <si>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</si>
  <si>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</si>
  <si>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</si>
  <si>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</si>
  <si>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</si>
  <si>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</si>
  <si>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</si>
  <si>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</si>
  <si>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</si>
  <si>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</si>
  <si>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</si>
  <si>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</si>
  <si>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</si>
  <si>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</si>
  <si>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</si>
  <si>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</si>
  <si>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</si>
  <si>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</si>
  <si>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</si>
  <si>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</si>
  <si>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</si>
  <si>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</si>
  <si>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</si>
  <si>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</si>
  <si>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</si>
  <si>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</si>
  <si>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</si>
  <si>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</si>
  <si>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</si>
  <si>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</si>
  <si>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</si>
  <si>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</si>
  <si>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</si>
  <si>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</si>
  <si>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</si>
  <si>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</si>
  <si>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</si>
  <si>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</si>
  <si>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</si>
  <si>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</si>
  <si>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</si>
  <si>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</si>
  <si>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</si>
  <si>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</si>
  <si>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</si>
  <si>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</si>
  <si>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</si>
  <si>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</si>
  <si>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</si>
  <si>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</si>
  <si>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</si>
  <si>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</si>
  <si>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</si>
  <si>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</si>
  <si>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</si>
  <si>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</si>
  <si>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</si>
  <si>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</si>
  <si>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</si>
  <si>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</si>
  <si>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</si>
  <si>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</si>
  <si>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</si>
  <si>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</si>
  <si>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</si>
  <si>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</si>
  <si>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</si>
  <si>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</si>
  <si>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</si>
  <si>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</si>
  <si>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</si>
  <si>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</si>
  <si>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</si>
  <si>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</si>
  <si>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</si>
  <si>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</si>
  <si>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</si>
  <si>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</si>
  <si>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</si>
  <si>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</si>
  <si>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</si>
  <si>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</si>
  <si>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</si>
  <si>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</si>
  <si>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</si>
  <si>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</si>
  <si>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</si>
  <si>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</si>
  <si>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</si>
  <si>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</si>
  <si>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</si>
  <si>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</si>
  <si>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</si>
  <si>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</si>
  <si>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</si>
  <si>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</si>
  <si>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</si>
  <si>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</si>
  <si>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</si>
  <si>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</si>
  <si>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</si>
  <si>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</si>
  <si>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</si>
  <si>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</si>
  <si>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</si>
  <si>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</si>
  <si>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</si>
  <si>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</si>
  <si>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</si>
  <si>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</si>
  <si>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</si>
  <si>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</si>
  <si>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</si>
  <si>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</si>
  <si>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</si>
  <si>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</si>
  <si>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</si>
  <si>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</si>
  <si>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</si>
  <si>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</si>
  <si>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</si>
  <si>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</si>
  <si>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</si>
  <si>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</si>
  <si>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</si>
  <si>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</si>
  <si>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</si>
  <si>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</si>
  <si>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</si>
  <si>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</si>
  <si>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</si>
  <si>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</si>
  <si>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</si>
  <si>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</si>
  <si>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</si>
  <si>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</si>
  <si>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</si>
  <si>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</si>
  <si>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</si>
  <si>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</si>
  <si>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</si>
  <si>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</si>
  <si>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</si>
  <si>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</si>
  <si>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</si>
  <si>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</si>
  <si>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</si>
  <si>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</si>
  <si>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</si>
  <si>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</si>
  <si>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</si>
  <si>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</si>
  <si>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</si>
  <si>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</si>
  <si>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</si>
  <si>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</si>
  <si>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</si>
  <si>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</si>
  <si>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</si>
  <si>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</si>
  <si>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</si>
  <si>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</si>
  <si>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</si>
  <si>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</si>
  <si>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</si>
  <si>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</si>
  <si>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</si>
  <si>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</si>
  <si>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</si>
  <si>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</si>
  <si>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</si>
  <si>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</si>
  <si>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</si>
  <si>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</si>
  <si>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</si>
  <si>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</si>
  <si>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</si>
  <si>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</si>
  <si>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</si>
  <si>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</si>
  <si>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</si>
  <si>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</si>
  <si>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</si>
  <si>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</si>
  <si>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</si>
  <si>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</si>
  <si>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</si>
  <si>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</si>
  <si>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</si>
  <si>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</si>
  <si>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</si>
  <si>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</si>
  <si>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</si>
  <si>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</si>
  <si>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</si>
  <si>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</si>
  <si>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</si>
  <si>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</si>
  <si>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</si>
  <si>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</si>
  <si>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</si>
  <si>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</si>
  <si>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</si>
  <si>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</si>
  <si>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</si>
  <si>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</si>
  <si>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</si>
  <si>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</si>
  <si>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</si>
  <si>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</si>
  <si>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</si>
  <si>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</si>
  <si>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</si>
  <si>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</si>
  <si>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</si>
  <si>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</si>
  <si>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</si>
  <si>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</si>
  <si>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</si>
  <si>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</si>
  <si>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</si>
  <si>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</si>
  <si>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</si>
  <si>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</si>
  <si>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</si>
  <si>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</si>
  <si>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</si>
  <si>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</si>
  <si>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</si>
  <si>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</si>
  <si>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</si>
  <si>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</si>
  <si>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</si>
  <si>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</si>
  <si>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</si>
  <si>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</si>
  <si>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</si>
  <si>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</si>
  <si>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</si>
  <si>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</si>
  <si>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</si>
  <si>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</si>
  <si>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</si>
  <si>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</si>
  <si>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</si>
  <si>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</si>
  <si>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</si>
  <si>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</si>
  <si>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</si>
  <si>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</si>
  <si>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</si>
  <si>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</si>
  <si>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</si>
  <si>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</si>
  <si>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</si>
  <si>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</si>
  <si>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</si>
  <si>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</si>
  <si>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</si>
  <si>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</si>
  <si>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</si>
  <si>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</si>
  <si>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</si>
  <si>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</si>
  <si>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</si>
  <si>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</si>
  <si>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</si>
  <si>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</si>
  <si>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</si>
  <si>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</si>
  <si>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</si>
  <si>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</si>
  <si>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</si>
  <si>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</si>
  <si>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</si>
  <si>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</si>
  <si>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</si>
  <si>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</si>
  <si>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</si>
  <si>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</si>
  <si>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</si>
  <si>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</si>
  <si>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</si>
  <si>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</si>
  <si>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</si>
  <si>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</si>
  <si>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</si>
  <si>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</si>
  <si>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</si>
  <si>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</si>
  <si>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</si>
  <si>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</si>
  <si>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</si>
  <si>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</si>
  <si>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</si>
  <si>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</si>
  <si>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</si>
  <si>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</si>
  <si>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</si>
  <si>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</si>
  <si>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</si>
  <si>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</si>
  <si>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</si>
  <si>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</si>
  <si>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</si>
  <si>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</si>
  <si>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</si>
  <si>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</si>
  <si>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</si>
  <si>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</si>
  <si>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</si>
  <si>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</si>
  <si>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</si>
  <si>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</si>
  <si>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</si>
  <si>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</si>
  <si>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</si>
  <si>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</si>
  <si>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</si>
  <si>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</si>
  <si>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</si>
  <si>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</si>
  <si>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</si>
  <si>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</si>
  <si>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</si>
  <si>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</si>
  <si>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</si>
  <si>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</si>
  <si>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</si>
  <si>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</si>
  <si>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</si>
  <si>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</si>
  <si>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</si>
  <si>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</si>
  <si>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</si>
  <si>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</si>
  <si>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</si>
  <si>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</si>
  <si>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</si>
  <si>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</si>
  <si>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</si>
  <si>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</si>
  <si>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</si>
  <si>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</si>
  <si>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</si>
  <si>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</si>
  <si>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</si>
  <si>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</si>
  <si>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</si>
  <si>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</si>
  <si>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</si>
  <si>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</si>
  <si>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</si>
  <si>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</si>
  <si>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</si>
  <si>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</si>
  <si>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</si>
  <si>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</si>
  <si>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</si>
  <si>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</si>
  <si>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</si>
  <si>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</si>
  <si>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</si>
  <si>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</si>
  <si>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</si>
  <si>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</si>
  <si>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</si>
  <si>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</si>
  <si>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</si>
  <si>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</si>
  <si>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</si>
  <si>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</si>
  <si>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</si>
  <si>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</si>
  <si>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</si>
  <si>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</si>
  <si>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</si>
  <si>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</si>
  <si>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</si>
  <si>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</si>
  <si>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</si>
  <si>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</si>
  <si>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</si>
  <si>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</si>
  <si>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</si>
  <si>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</si>
  <si>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</si>
  <si>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</si>
  <si>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</si>
  <si>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</si>
  <si>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</si>
  <si>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</si>
  <si>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</si>
  <si>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</si>
  <si>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</si>
  <si>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</si>
  <si>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</si>
  <si>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</si>
  <si>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</si>
  <si>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</si>
  <si>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</si>
  <si>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</si>
  <si>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</si>
  <si>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</si>
  <si>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</si>
  <si>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</si>
  <si>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</si>
  <si>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</si>
  <si>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</si>
  <si>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</si>
  <si>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</si>
  <si>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</si>
  <si>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</si>
  <si>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</si>
  <si>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</si>
  <si>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</si>
  <si>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</si>
  <si>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</si>
  <si>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</si>
  <si>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</si>
  <si>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</si>
  <si>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</si>
  <si>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</si>
  <si>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</si>
  <si>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</si>
  <si>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</si>
  <si>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</si>
  <si>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</si>
  <si>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</si>
  <si>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</si>
  <si>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</si>
  <si>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</si>
  <si>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</si>
  <si>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</si>
  <si>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</si>
  <si>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</si>
  <si>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</si>
  <si>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</si>
  <si>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</si>
  <si>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</si>
  <si>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</si>
  <si>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</si>
  <si>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</si>
  <si>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</si>
  <si>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</si>
  <si>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</si>
  <si>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</si>
  <si>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</si>
  <si>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</si>
  <si>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</si>
  <si>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</si>
  <si>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</si>
  <si>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</si>
  <si>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</si>
  <si>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</si>
  <si>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</si>
  <si>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</si>
  <si>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</si>
  <si>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</si>
  <si>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</si>
  <si>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</si>
  <si>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</si>
  <si>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</si>
  <si>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</si>
  <si>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</si>
  <si>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</si>
  <si>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</si>
  <si>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</si>
  <si>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</si>
  <si>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</si>
  <si>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</si>
  <si>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</si>
  <si>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</si>
  <si>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</si>
  <si>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</si>
  <si>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</si>
  <si>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</si>
  <si>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</si>
  <si>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</si>
  <si>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</si>
  <si>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</si>
  <si>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</si>
  <si>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</si>
  <si>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</si>
  <si>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</si>
  <si>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</si>
  <si>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</si>
  <si>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</si>
  <si>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</si>
  <si>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</si>
  <si>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</si>
  <si>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</si>
  <si>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</si>
  <si>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</si>
  <si>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</si>
  <si>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</si>
  <si>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</si>
  <si>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</si>
  <si>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</si>
  <si>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</si>
  <si>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</si>
  <si>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</si>
  <si>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</si>
  <si>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</si>
  <si>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</si>
  <si>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</si>
  <si>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</si>
  <si>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</si>
  <si>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</si>
  <si>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</si>
  <si>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</si>
  <si>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</si>
  <si>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</si>
  <si>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</si>
  <si>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</si>
  <si>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</si>
  <si>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</si>
  <si>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</si>
  <si>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</si>
  <si>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</si>
  <si>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</si>
  <si>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</si>
  <si>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</si>
  <si>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</si>
  <si>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</si>
  <si>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</si>
  <si>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</si>
  <si>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</si>
  <si>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</si>
  <si>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</si>
  <si>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</si>
  <si>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</si>
  <si>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</si>
  <si>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</si>
  <si>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</si>
  <si>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</si>
  <si>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</si>
  <si>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</si>
  <si>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</si>
  <si>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</si>
  <si>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</si>
  <si>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</si>
  <si>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</si>
  <si>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</si>
  <si>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</si>
  <si>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</si>
  <si>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</si>
  <si>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</si>
  <si>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</si>
  <si>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</si>
  <si>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</si>
  <si>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</si>
  <si>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</si>
  <si>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</si>
  <si>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</si>
  <si>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</si>
  <si>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</si>
  <si>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</si>
  <si>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</si>
  <si>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</si>
  <si>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</si>
  <si>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</si>
  <si>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</si>
  <si>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</si>
  <si>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</si>
  <si>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</si>
  <si>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</si>
  <si>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</si>
  <si>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</si>
  <si>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</si>
  <si>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</si>
  <si>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</si>
  <si>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</si>
  <si>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</si>
  <si>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</si>
  <si>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</si>
  <si>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</si>
  <si>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</si>
  <si>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</si>
  <si>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</si>
  <si>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</si>
  <si>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</si>
  <si>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</si>
  <si>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</si>
  <si>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</si>
  <si>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</si>
  <si>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</si>
  <si>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</si>
  <si>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</si>
  <si>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</si>
  <si>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</si>
  <si>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</si>
  <si>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</si>
  <si>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</si>
  <si>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</si>
  <si>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</si>
  <si>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</si>
  <si>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</si>
  <si>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</si>
  <si>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</si>
  <si>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</si>
  <si>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</si>
  <si>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</si>
  <si>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</si>
  <si>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</si>
  <si>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</si>
  <si>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</si>
  <si>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</si>
  <si>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</si>
  <si>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</si>
  <si>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</si>
  <si>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</si>
  <si>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</si>
  <si>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</si>
  <si>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</si>
  <si>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</si>
  <si>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</si>
  <si>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</si>
  <si>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</si>
  <si>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</si>
  <si>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</si>
  <si>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</si>
  <si>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</si>
  <si>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</si>
  <si>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</si>
  <si>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</si>
  <si>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</si>
  <si>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</si>
  <si>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</si>
  <si>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</si>
  <si>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</si>
  <si>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</si>
  <si>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</si>
  <si>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</si>
  <si>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</si>
  <si>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</si>
  <si>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</si>
  <si>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</si>
  <si>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</si>
  <si>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</si>
  <si>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</si>
  <si>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</si>
  <si>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</si>
  <si>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</si>
  <si>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</si>
  <si>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</si>
  <si>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</si>
  <si>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</si>
  <si>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</si>
  <si>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</si>
  <si>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</si>
  <si>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</si>
  <si>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</si>
  <si>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</si>
  <si>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</si>
  <si>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</si>
  <si>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</si>
  <si>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</si>
  <si>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</si>
  <si>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</si>
  <si>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</si>
  <si>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</si>
  <si>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</si>
  <si>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</si>
  <si>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</si>
  <si>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</si>
  <si>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</si>
  <si>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</si>
  <si>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</si>
  <si>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</si>
  <si>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</si>
  <si>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</si>
  <si>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</si>
  <si>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</si>
  <si>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</si>
  <si>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</si>
  <si>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</si>
  <si>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</si>
  <si>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</si>
  <si>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</si>
  <si>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</si>
  <si>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</si>
  <si>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</si>
  <si>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</si>
  <si>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</si>
  <si>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</si>
  <si>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</si>
  <si>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</si>
  <si>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</si>
  <si>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</si>
  <si>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</si>
  <si>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</si>
  <si>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</si>
  <si>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</si>
  <si>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</si>
  <si>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</si>
  <si>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</si>
  <si>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</si>
  <si>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</si>
  <si>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</si>
  <si>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</si>
  <si>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</si>
  <si>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</si>
  <si>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</si>
  <si>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</si>
  <si>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</si>
  <si>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</si>
  <si>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</si>
  <si>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</si>
  <si>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</si>
  <si>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</si>
  <si>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</si>
  <si>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</si>
  <si>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</si>
  <si>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</si>
  <si>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</si>
  <si>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</si>
  <si>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</si>
  <si>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</si>
  <si>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</si>
  <si>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</si>
  <si>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</si>
  <si>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</si>
  <si>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</si>
  <si>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</si>
  <si>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</si>
  <si>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</si>
  <si>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</si>
  <si>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</si>
  <si>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</si>
  <si>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</si>
  <si>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</si>
  <si>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</si>
  <si>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</si>
  <si>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</si>
  <si>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</si>
  <si>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</si>
  <si>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</si>
  <si>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</si>
  <si>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</si>
  <si>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</si>
  <si>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</si>
  <si>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</si>
  <si>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</si>
  <si>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</si>
  <si>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</si>
  <si>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</si>
  <si>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</si>
  <si>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</si>
  <si>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</si>
  <si>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</si>
  <si>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</si>
  <si>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</si>
  <si>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</si>
  <si>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</si>
  <si>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</si>
  <si>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</si>
  <si>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</si>
  <si>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</si>
  <si>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</si>
  <si>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</si>
  <si>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</si>
  <si>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</si>
  <si>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</si>
  <si>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</si>
  <si>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</si>
  <si>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</si>
  <si>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</si>
  <si>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</si>
  <si>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</si>
  <si>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</si>
  <si>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</si>
  <si>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</si>
  <si>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</si>
  <si>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</si>
  <si>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</si>
  <si>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</si>
  <si>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</si>
  <si>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</si>
  <si>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</si>
  <si>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</si>
  <si>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</si>
  <si>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</si>
  <si>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</si>
  <si>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</si>
  <si>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</si>
  <si>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</si>
  <si>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</si>
  <si>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</si>
  <si>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</si>
  <si>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</si>
  <si>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</si>
  <si>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</si>
  <si>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</si>
  <si>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</si>
  <si>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</si>
  <si>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</si>
  <si>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</si>
  <si>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</si>
  <si>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</si>
  <si>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</si>
  <si>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</si>
  <si>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</si>
  <si>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</si>
  <si>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</si>
  <si>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</si>
  <si>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</si>
  <si>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</si>
  <si>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</si>
  <si>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</si>
  <si>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</si>
  <si>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</si>
  <si>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</si>
  <si>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</si>
  <si>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</si>
  <si>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</si>
  <si>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</si>
  <si>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</si>
  <si>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</si>
  <si>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</si>
  <si>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</si>
  <si>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</si>
  <si>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</si>
  <si>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</si>
  <si>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</si>
  <si>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</si>
  <si>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</si>
  <si>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</si>
  <si>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</si>
  <si>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</si>
  <si>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</si>
  <si>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</si>
  <si>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</si>
  <si>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</si>
  <si>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</si>
  <si>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</si>
  <si>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</si>
  <si>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</si>
  <si>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</si>
  <si>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</si>
  <si>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</si>
  <si>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</si>
  <si>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</si>
  <si>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</si>
  <si>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</si>
  <si>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</si>
  <si>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</si>
  <si>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</si>
  <si>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</si>
  <si>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</si>
  <si>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</si>
  <si>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</si>
  <si>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</si>
  <si>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</si>
  <si>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</si>
  <si>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</si>
  <si>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</si>
  <si>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</si>
  <si>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</si>
  <si>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</si>
  <si>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</si>
  <si>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</si>
  <si>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</si>
  <si>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</si>
  <si>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</si>
  <si>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</si>
  <si>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</si>
  <si>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</si>
  <si>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</si>
  <si>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</si>
  <si>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</si>
  <si>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</si>
  <si>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</si>
  <si>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</si>
  <si>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</si>
  <si>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</si>
  <si>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</si>
  <si>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</si>
  <si>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</si>
  <si>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</si>
  <si>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</si>
  <si>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</si>
  <si>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</si>
  <si>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</si>
  <si>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</si>
  <si>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</si>
  <si>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</si>
  <si>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</si>
  <si>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</si>
  <si>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</si>
  <si>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</si>
  <si>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</si>
  <si>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</si>
  <si>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</si>
  <si>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</si>
  <si>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</si>
  <si>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</si>
  <si>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</si>
  <si>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</si>
  <si>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</si>
  <si>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</si>
  <si>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</si>
  <si>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</si>
  <si>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</si>
  <si>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</si>
  <si>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</si>
  <si>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</si>
  <si>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</si>
  <si>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</si>
  <si>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</si>
  <si>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</si>
  <si>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</si>
  <si>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</si>
  <si>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</si>
  <si>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</si>
  <si>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</si>
  <si>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</si>
  <si>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</si>
  <si>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</si>
  <si>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</si>
  <si>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</si>
  <si>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</si>
  <si>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</si>
  <si>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</si>
  <si>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</si>
  <si>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</si>
  <si>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</si>
  <si>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</si>
  <si>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</si>
  <si>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</si>
  <si>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</si>
  <si>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</si>
  <si>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</si>
  <si>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</si>
  <si>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</si>
  <si>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</si>
  <si>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</si>
  <si>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</si>
  <si>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</si>
  <si>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</si>
  <si>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</si>
  <si>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</si>
  <si>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</si>
  <si>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</si>
  <si>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</si>
  <si>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</si>
  <si>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</si>
  <si>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</si>
  <si>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</si>
  <si>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</si>
  <si>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</si>
  <si>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</si>
  <si>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</si>
  <si>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</si>
  <si>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</si>
  <si>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</si>
  <si>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</si>
  <si>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</si>
  <si>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</si>
  <si>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</si>
  <si>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</si>
  <si>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</si>
  <si>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</si>
  <si>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</si>
  <si>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</si>
  <si>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</si>
  <si>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</si>
  <si>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</si>
  <si>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</si>
  <si>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</si>
  <si>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</si>
  <si>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</si>
  <si>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</si>
  <si>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</si>
  <si>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</si>
  <si>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</si>
  <si>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</si>
  <si>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</si>
  <si>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</si>
  <si>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</si>
  <si>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</si>
  <si>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</si>
  <si>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</si>
  <si>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</si>
  <si>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</si>
  <si>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</si>
  <si>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</si>
  <si>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</si>
  <si>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</si>
  <si>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</si>
  <si>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</si>
  <si>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</si>
  <si>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</si>
  <si>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</si>
  <si>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</si>
  <si>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</si>
  <si>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</si>
  <si>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</si>
  <si>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</si>
  <si>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</si>
  <si>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</si>
  <si>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</si>
  <si>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</si>
  <si>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</si>
  <si>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</si>
  <si>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</si>
  <si>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</si>
  <si>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</si>
  <si>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</si>
  <si>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</si>
  <si>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</si>
  <si>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</si>
  <si>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</si>
  <si>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</si>
  <si>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</si>
  <si>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</si>
  <si>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</si>
  <si>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</si>
  <si>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</si>
  <si>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</si>
  <si>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</si>
  <si>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</si>
  <si>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</si>
  <si>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</si>
  <si>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</si>
  <si>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</si>
  <si>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</si>
  <si>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</si>
  <si>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</si>
  <si>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</si>
  <si>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</si>
  <si>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</si>
  <si>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</si>
  <si>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</si>
  <si>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</si>
  <si>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</si>
  <si>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</si>
  <si>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</si>
  <si>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</si>
  <si>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</si>
  <si>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</si>
  <si>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</si>
  <si>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</si>
  <si>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</si>
  <si>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</si>
  <si>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</si>
  <si>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</si>
  <si>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</si>
  <si>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</si>
  <si>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</si>
  <si>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</si>
  <si>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</si>
  <si>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</si>
  <si>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</si>
  <si>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</si>
  <si>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</si>
  <si>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</si>
  <si>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</si>
  <si>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</si>
  <si>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</si>
  <si>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</si>
  <si>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</si>
  <si>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</si>
  <si>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</si>
  <si>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</si>
  <si>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</si>
  <si>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</si>
  <si>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</si>
  <si>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</si>
  <si>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</si>
  <si>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</si>
  <si>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</si>
  <si>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</si>
  <si>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</si>
  <si>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</si>
  <si>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</si>
  <si>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</si>
  <si>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</si>
  <si>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</si>
  <si>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</si>
  <si>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</si>
  <si>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</si>
  <si>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</si>
  <si>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</si>
  <si>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</si>
  <si>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</si>
  <si>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</si>
  <si>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</si>
  <si>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</si>
  <si>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</si>
  <si>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</si>
  <si>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</si>
  <si>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</si>
  <si>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</si>
  <si>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</si>
  <si>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</si>
  <si>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</si>
  <si>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</si>
  <si>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</si>
  <si>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</si>
  <si>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</si>
  <si>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</si>
  <si>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</si>
  <si>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</si>
  <si>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</si>
  <si>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</si>
  <si>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</si>
  <si>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</si>
  <si>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</si>
  <si>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</si>
  <si>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</si>
  <si>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</si>
  <si>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</si>
  <si>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</si>
  <si>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</si>
  <si>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</si>
  <si>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</si>
  <si>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</si>
  <si>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</si>
  <si>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</si>
  <si>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</si>
  <si>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</si>
  <si>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</si>
  <si>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</si>
  <si>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</si>
  <si>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</si>
  <si>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</si>
  <si>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</si>
  <si>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</si>
  <si>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</si>
  <si>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</si>
  <si>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</si>
  <si>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</si>
  <si>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</si>
  <si>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</si>
  <si>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</si>
  <si>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</si>
  <si>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</si>
  <si>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</si>
  <si>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</si>
  <si>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</si>
  <si>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</si>
  <si>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</si>
  <si>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</si>
  <si>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</si>
  <si>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</si>
  <si>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</si>
  <si>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</si>
  <si>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</si>
  <si>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</si>
  <si>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</si>
  <si>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</si>
  <si>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</si>
  <si>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</si>
  <si>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</si>
  <si>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</si>
  <si>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</si>
  <si>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</si>
  <si>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</si>
  <si>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</si>
  <si>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</si>
  <si>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</si>
  <si>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</si>
  <si>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</si>
  <si>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</si>
  <si>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</si>
  <si>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</si>
  <si>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</si>
  <si>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</si>
  <si>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</si>
  <si>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</si>
  <si>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</si>
  <si>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</si>
  <si>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</si>
  <si>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</si>
  <si>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</si>
  <si>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</si>
  <si>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</si>
  <si>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</si>
  <si>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</si>
  <si>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</si>
  <si>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</si>
  <si>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</si>
  <si>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</si>
  <si>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</si>
  <si>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</si>
  <si>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</si>
  <si>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</si>
  <si>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</si>
  <si>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</si>
  <si>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</si>
  <si>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</si>
  <si>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</si>
  <si>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</si>
  <si>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</si>
  <si>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</si>
  <si>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</si>
  <si>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</si>
  <si>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</si>
  <si>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</si>
  <si>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</si>
  <si>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</si>
  <si>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</si>
  <si>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</si>
  <si>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</si>
  <si>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</si>
  <si>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</si>
  <si>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</si>
  <si>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</si>
  <si>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</si>
  <si>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</si>
  <si>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</si>
  <si>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</si>
  <si>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</si>
  <si>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</si>
  <si>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</si>
  <si>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</si>
  <si>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</si>
  <si>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</si>
  <si>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</si>
  <si>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</si>
  <si>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</si>
  <si>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</si>
  <si>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</si>
  <si>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</si>
  <si>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</si>
  <si>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</si>
  <si>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</si>
  <si>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</si>
  <si>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</si>
  <si>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</si>
  <si>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</si>
  <si>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</si>
  <si>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</si>
  <si>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</si>
  <si>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</si>
  <si>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</si>
  <si>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</si>
  <si>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</si>
  <si>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</si>
  <si>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</si>
  <si>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</si>
  <si>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</si>
  <si>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</si>
  <si>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</si>
  <si>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</si>
  <si>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</si>
  <si>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</si>
  <si>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</si>
  <si>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</si>
  <si>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</si>
  <si>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</si>
  <si>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</si>
  <si>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</si>
  <si>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</si>
  <si>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</si>
  <si>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</si>
  <si>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</si>
  <si>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</si>
  <si>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</si>
  <si>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</si>
  <si>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</si>
  <si>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</si>
  <si>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</si>
  <si>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</si>
  <si>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</si>
  <si>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</si>
  <si>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</si>
  <si>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</si>
  <si>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</si>
  <si>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</si>
  <si>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</si>
  <si>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</si>
  <si>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</si>
  <si>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</si>
  <si>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</si>
  <si>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</si>
  <si>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</si>
  <si>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</si>
  <si>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</si>
  <si>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</si>
  <si>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</si>
  <si>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</si>
  <si>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</si>
  <si>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</si>
  <si>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</si>
  <si>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</si>
  <si>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</si>
  <si>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</si>
  <si>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</si>
  <si>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</si>
  <si>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</si>
  <si>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</si>
  <si>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</si>
  <si>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</si>
  <si>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</si>
  <si>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</si>
  <si>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</si>
  <si>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</si>
  <si>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</si>
  <si>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</si>
  <si>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</si>
  <si>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</si>
  <si>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</si>
  <si>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</si>
  <si>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</si>
  <si>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</si>
  <si>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</si>
  <si>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</si>
  <si>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</si>
  <si>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</si>
  <si>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</si>
  <si>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</si>
  <si>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</si>
  <si>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</si>
  <si>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</si>
  <si>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</si>
  <si>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</si>
  <si>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</si>
  <si>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</si>
  <si>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</si>
  <si>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</si>
  <si>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</si>
  <si>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</si>
  <si>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</si>
  <si>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</si>
  <si>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</si>
  <si>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</si>
  <si>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</si>
  <si>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</si>
  <si>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</si>
  <si>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</si>
  <si>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</si>
  <si>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</si>
  <si>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</si>
  <si>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</si>
  <si>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</si>
  <si>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</si>
  <si>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</si>
  <si>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</si>
  <si>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</si>
  <si>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</si>
  <si>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</si>
  <si>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</si>
  <si>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</si>
  <si>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</si>
  <si>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</si>
  <si>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</si>
  <si>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</si>
  <si>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</si>
  <si>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</si>
  <si>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</si>
  <si>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</si>
  <si>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</si>
  <si>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</si>
  <si>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</si>
  <si>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</si>
  <si>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</si>
  <si>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</si>
  <si>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</si>
  <si>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</si>
  <si>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</si>
  <si>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</si>
  <si>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</si>
  <si>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</si>
  <si>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</si>
  <si>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</si>
  <si>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</si>
  <si>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</si>
  <si>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</si>
  <si>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</si>
  <si>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</si>
  <si>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</si>
  <si>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</si>
  <si>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</si>
  <si>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</si>
  <si>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</si>
  <si>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</si>
  <si>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</si>
  <si>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</si>
  <si>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</si>
  <si>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</si>
  <si>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</si>
  <si>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</si>
  <si>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</si>
  <si>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</si>
  <si>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</si>
  <si>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</si>
  <si>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</si>
  <si>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</si>
  <si>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</si>
  <si>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</si>
  <si>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</si>
  <si>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</si>
  <si>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</si>
  <si>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</si>
  <si>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</si>
  <si>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</si>
  <si>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</si>
  <si>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</si>
  <si>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</si>
  <si>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</si>
  <si>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</si>
  <si>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</si>
  <si>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</si>
  <si>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</si>
  <si>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</si>
  <si>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</si>
  <si>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</si>
  <si>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</si>
  <si>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</si>
  <si>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</si>
  <si>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</si>
  <si>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</si>
  <si>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</si>
  <si>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</si>
  <si>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</si>
  <si>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</si>
  <si>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</si>
  <si>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</si>
  <si>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</si>
  <si>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</si>
  <si>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</si>
  <si>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</si>
  <si>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</si>
  <si>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</si>
  <si>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</si>
  <si>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</si>
  <si>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</si>
  <si>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</si>
  <si>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</si>
  <si>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</si>
  <si>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</si>
  <si>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</si>
  <si>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</si>
  <si>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</si>
  <si>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</si>
  <si>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</si>
  <si>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</si>
  <si>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</si>
  <si>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</si>
  <si>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</si>
  <si>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</si>
  <si>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</si>
  <si>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</si>
  <si>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</si>
  <si>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</si>
  <si>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</si>
  <si>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</si>
  <si>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</si>
  <si>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</si>
  <si>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</si>
  <si>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</si>
  <si>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</si>
  <si>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</si>
  <si>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</si>
  <si>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</si>
  <si>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</si>
  <si>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</si>
  <si>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</si>
  <si>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</si>
  <si>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</si>
  <si>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</si>
  <si>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</si>
  <si>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</si>
  <si>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</si>
  <si>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</si>
  <si>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</si>
  <si>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</si>
  <si>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</si>
  <si>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</si>
  <si>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</si>
  <si>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</si>
  <si>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</si>
  <si>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</si>
  <si>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</si>
  <si>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</si>
  <si>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</si>
  <si>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</si>
  <si>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</si>
  <si>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</si>
  <si>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</si>
  <si>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</si>
  <si>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</si>
  <si>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</si>
  <si>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</si>
  <si>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</si>
  <si>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</si>
  <si>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</si>
  <si>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</si>
  <si>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</si>
  <si>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</si>
  <si>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</si>
  <si>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</si>
  <si>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</si>
  <si>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</si>
  <si>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</si>
  <si>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</si>
  <si>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</si>
  <si>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</si>
  <si>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</si>
  <si>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</si>
  <si>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</si>
  <si>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</si>
  <si>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</si>
  <si>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</si>
  <si>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</si>
  <si>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</si>
  <si>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</si>
  <si>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</si>
  <si>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</si>
  <si>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</si>
  <si>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</si>
  <si>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</si>
  <si>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</si>
  <si>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</si>
  <si>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</si>
  <si>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</si>
  <si>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</si>
  <si>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</si>
  <si>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</si>
  <si>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</si>
  <si>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</si>
  <si>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</si>
  <si>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</si>
  <si>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</si>
  <si>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</si>
  <si>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</si>
  <si>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</si>
  <si>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</si>
  <si>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</si>
  <si>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</si>
  <si>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</si>
  <si>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</si>
  <si>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</si>
  <si>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</si>
  <si>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</si>
  <si>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</si>
  <si>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</si>
  <si>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</si>
  <si>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</si>
  <si>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</si>
  <si>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</si>
  <si>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</si>
  <si>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</si>
  <si>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</si>
  <si>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</si>
  <si>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</si>
  <si>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</si>
  <si>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</si>
  <si>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</si>
  <si>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</si>
  <si>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</si>
  <si>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</si>
  <si>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</si>
  <si>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</si>
  <si>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</si>
  <si>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</si>
  <si>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</si>
  <si>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</si>
  <si>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</si>
  <si>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</si>
  <si>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</si>
  <si>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</si>
  <si>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</si>
  <si>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</si>
  <si>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</si>
  <si>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</si>
  <si>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</si>
  <si>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</si>
  <si>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</si>
  <si>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</si>
  <si>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</si>
  <si>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</si>
  <si>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</si>
  <si>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</si>
  <si>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</si>
  <si>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</si>
  <si>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</si>
  <si>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</si>
  <si>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</si>
  <si>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</si>
  <si>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</si>
  <si>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</si>
  <si>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</si>
  <si>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</si>
  <si>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</si>
  <si>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</si>
  <si>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</si>
  <si>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</si>
  <si>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</si>
  <si>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</si>
  <si>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</si>
  <si>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</si>
  <si>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</si>
  <si>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</si>
  <si>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</si>
  <si>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</si>
  <si>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</si>
  <si>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</si>
  <si>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</si>
  <si>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</si>
  <si>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</si>
  <si>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</si>
  <si>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</si>
  <si>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</si>
  <si>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</si>
  <si>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</si>
  <si>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</si>
  <si>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</si>
  <si>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</si>
  <si>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</si>
  <si>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</si>
  <si>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</si>
  <si>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</si>
  <si>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</si>
  <si>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</si>
  <si>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</si>
  <si>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</si>
  <si>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</si>
  <si>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</si>
  <si>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</si>
  <si>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</si>
  <si>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</si>
  <si>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</si>
  <si>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</si>
  <si>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</si>
  <si>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</si>
  <si>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</si>
  <si>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</si>
  <si>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</si>
  <si>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</si>
  <si>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</si>
  <si>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</si>
  <si>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</si>
  <si>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</si>
  <si>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</si>
  <si>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</si>
  <si>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</si>
  <si>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</si>
  <si>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</si>
  <si>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</si>
  <si>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</si>
  <si>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</si>
  <si>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</si>
  <si>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</si>
  <si>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</si>
  <si>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</si>
  <si>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</si>
  <si>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</si>
  <si>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</si>
  <si>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</si>
  <si>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</si>
  <si>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</si>
  <si>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</si>
  <si>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</si>
  <si>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</si>
  <si>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</si>
  <si>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</si>
  <si>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</si>
  <si>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</si>
  <si>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</si>
  <si>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</si>
  <si>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</si>
  <si>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</si>
  <si>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</si>
  <si>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</si>
  <si>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</si>
  <si>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</si>
  <si>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</si>
  <si>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</si>
  <si>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</si>
  <si>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</si>
  <si>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</si>
  <si>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</si>
  <si>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</si>
  <si>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</si>
  <si>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</si>
  <si>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</si>
  <si>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</si>
  <si>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</si>
  <si>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</si>
  <si>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</si>
  <si>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</si>
  <si>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</si>
  <si>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</si>
  <si>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</si>
  <si>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</si>
  <si>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</si>
  <si>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</si>
  <si>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</si>
  <si>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</si>
  <si>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</si>
  <si>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</si>
  <si>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</si>
  <si>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</si>
  <si>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</si>
  <si>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</si>
  <si>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</si>
  <si>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</si>
  <si>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</si>
  <si>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</si>
  <si>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</si>
  <si>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</si>
  <si>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</si>
  <si>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</si>
  <si>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</si>
  <si>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</si>
  <si>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</si>
  <si>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</si>
  <si>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</si>
  <si>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</si>
  <si>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</si>
  <si>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</si>
  <si>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</si>
  <si>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</si>
  <si>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</si>
  <si>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</si>
  <si>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</si>
  <si>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</si>
  <si>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</si>
  <si>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</si>
  <si>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</si>
  <si>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</si>
  <si>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</si>
  <si>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</si>
  <si>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</si>
  <si>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</si>
  <si>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</si>
  <si>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</si>
  <si>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</si>
  <si>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</si>
  <si>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</si>
  <si>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</si>
  <si>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</si>
  <si>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</si>
  <si>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</si>
  <si>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</si>
  <si>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</si>
  <si>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</si>
  <si>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</si>
  <si>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</si>
  <si>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</si>
  <si>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</si>
  <si>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</si>
  <si>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</si>
  <si>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</si>
  <si>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</si>
  <si>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</si>
  <si>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</si>
  <si>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</si>
  <si>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</si>
  <si>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</si>
  <si>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</si>
  <si>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</si>
  <si>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</si>
  <si>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</si>
  <si>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</si>
  <si>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</si>
  <si>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</si>
  <si>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</si>
  <si>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</si>
  <si>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</si>
  <si>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</si>
  <si>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</si>
  <si>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</si>
  <si>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</si>
  <si>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</si>
  <si>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</si>
  <si>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</si>
  <si>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</si>
  <si>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</si>
  <si>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</si>
  <si>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</si>
  <si>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</si>
  <si>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</si>
  <si>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</si>
  <si>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</si>
  <si>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</si>
  <si>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</si>
  <si>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</si>
  <si>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</si>
  <si>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</si>
  <si>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</si>
  <si>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</si>
  <si>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</si>
  <si>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</si>
  <si>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</si>
  <si>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</si>
  <si>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</si>
  <si>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</si>
  <si>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</si>
  <si>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</si>
  <si>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</si>
  <si>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</si>
  <si>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</si>
  <si>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</si>
  <si>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</si>
  <si>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</si>
  <si>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</si>
  <si>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</si>
  <si>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</si>
  <si>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</si>
  <si>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</si>
  <si>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</si>
  <si>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</si>
  <si>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</si>
  <si>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</si>
  <si>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</si>
  <si>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</si>
  <si>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</si>
  <si>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</si>
  <si>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</si>
  <si>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</si>
  <si>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</si>
  <si>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</si>
  <si>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</si>
  <si>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</si>
  <si>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</si>
  <si>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</si>
  <si>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</si>
  <si>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</si>
  <si>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</si>
  <si>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</si>
  <si>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</si>
  <si>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</si>
  <si>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</si>
  <si>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</si>
  <si>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</si>
  <si>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</si>
  <si>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</si>
  <si>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</si>
  <si>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</si>
  <si>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</si>
  <si>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</si>
  <si>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</si>
  <si>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</si>
  <si>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</si>
  <si>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</si>
  <si>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</si>
  <si>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</si>
  <si>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</si>
  <si>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</si>
  <si>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</si>
  <si>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</si>
  <si>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</si>
  <si>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</si>
  <si>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</si>
  <si>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</si>
  <si>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</si>
  <si>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</si>
  <si>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</si>
  <si>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</si>
  <si>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</si>
  <si>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</si>
  <si>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</si>
  <si>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</si>
  <si>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</si>
  <si>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</si>
  <si>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</si>
  <si>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</si>
  <si>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</si>
  <si>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</si>
  <si>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</si>
  <si>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</si>
  <si>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</si>
  <si>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</si>
  <si>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</si>
  <si>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</si>
  <si>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</si>
  <si>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</si>
  <si>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</si>
  <si>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</si>
  <si>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</si>
  <si>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</si>
  <si>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</si>
  <si>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</si>
  <si>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</si>
  <si>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</si>
  <si>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</si>
  <si>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</si>
  <si>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</si>
  <si>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</si>
  <si>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</si>
  <si>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</si>
  <si>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</si>
  <si>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</si>
  <si>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</si>
  <si>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</si>
  <si>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</si>
  <si>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</si>
  <si>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</si>
  <si>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</si>
  <si>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</si>
  <si>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</si>
  <si>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</si>
  <si>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</si>
  <si>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</si>
  <si>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</si>
  <si>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</si>
  <si>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</si>
  <si>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</si>
  <si>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</si>
  <si>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</si>
  <si>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</si>
  <si>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</si>
  <si>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</si>
  <si>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</si>
  <si>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</si>
  <si>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</si>
  <si>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</si>
  <si>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</si>
  <si>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</si>
  <si>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</si>
  <si>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</si>
  <si>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</si>
  <si>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</si>
  <si>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</si>
  <si>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</si>
  <si>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</si>
  <si>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</si>
  <si>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</si>
  <si>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</si>
  <si>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</si>
  <si>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</si>
  <si>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</si>
  <si>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</si>
  <si>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</si>
  <si>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</si>
  <si>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</si>
  <si>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</si>
  <si>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</si>
  <si>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</si>
  <si>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</si>
  <si>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</si>
  <si>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</si>
  <si>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</si>
  <si>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</si>
  <si>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</si>
  <si>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</si>
  <si>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</si>
  <si>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</si>
  <si>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</si>
  <si>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</si>
  <si>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</si>
  <si>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</si>
  <si>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</si>
  <si>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</si>
  <si>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</si>
  <si>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</si>
  <si>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</si>
  <si>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</si>
  <si>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</si>
  <si>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</si>
  <si>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</si>
  <si>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</si>
  <si>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</si>
  <si>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</si>
  <si>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</si>
  <si>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</si>
  <si>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</si>
  <si>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</si>
  <si>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</si>
  <si>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</si>
  <si>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</si>
  <si>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</si>
  <si>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</si>
  <si>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</si>
  <si>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</si>
  <si>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</si>
  <si>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</si>
  <si>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</si>
  <si>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</si>
  <si>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</si>
  <si>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</si>
  <si>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</si>
  <si>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</si>
  <si>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</si>
  <si>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</si>
  <si>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</si>
  <si>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</si>
  <si>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</si>
  <si>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</si>
  <si>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</si>
  <si>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</si>
  <si>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</si>
  <si>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</si>
  <si>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</si>
  <si>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</si>
  <si>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</si>
  <si>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</si>
  <si>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</si>
  <si>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</si>
  <si>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</si>
  <si>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</si>
  <si>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</si>
  <si>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</si>
  <si>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</si>
  <si>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</si>
  <si>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</si>
  <si>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</si>
  <si>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</si>
  <si>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</si>
  <si>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</si>
  <si>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</si>
  <si>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</si>
  <si>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</si>
  <si>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</si>
  <si>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</si>
  <si>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</si>
  <si>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</si>
  <si>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</si>
  <si>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</si>
  <si>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</si>
  <si>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</si>
  <si>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</si>
  <si>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</si>
  <si>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</si>
  <si>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</si>
  <si>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</si>
  <si>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</si>
  <si>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</si>
  <si>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</si>
  <si>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</si>
  <si>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</si>
  <si>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</si>
  <si>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</si>
  <si>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</si>
  <si>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</si>
  <si>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</si>
  <si>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</si>
  <si>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</si>
  <si>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</si>
  <si>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</si>
  <si>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</si>
  <si>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</si>
  <si>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</si>
  <si>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</si>
  <si>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</si>
  <si>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</si>
  <si>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</si>
  <si>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</si>
  <si>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</si>
  <si>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</si>
  <si>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</si>
  <si>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</si>
  <si>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</si>
  <si>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</si>
  <si>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</si>
  <si>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</si>
  <si>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</si>
  <si>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</si>
  <si>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</si>
  <si>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</si>
  <si>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</si>
  <si>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</si>
  <si>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</si>
  <si>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</si>
  <si>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</si>
  <si>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</si>
  <si>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</si>
  <si>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</si>
  <si>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</si>
  <si>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</si>
  <si>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</si>
  <si>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</si>
  <si>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</si>
  <si>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</si>
  <si>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</si>
  <si>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</si>
  <si>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</si>
  <si>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</si>
  <si>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</si>
  <si>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</si>
  <si>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</si>
  <si>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</si>
  <si>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</si>
  <si>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</si>
  <si>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</si>
  <si>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</si>
  <si>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</si>
  <si>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</si>
  <si>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</si>
  <si>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</si>
  <si>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</si>
  <si>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</si>
  <si>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</si>
  <si>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</si>
  <si>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</si>
  <si>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</si>
  <si>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</si>
  <si>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</si>
  <si>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</si>
  <si>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</si>
  <si>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</si>
  <si>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</si>
  <si>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</si>
  <si>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</si>
  <si>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</si>
  <si>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</si>
  <si>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</si>
  <si>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</si>
  <si>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</si>
  <si>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</si>
  <si>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</si>
  <si>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</si>
  <si>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</si>
  <si>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</si>
  <si>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</si>
  <si>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</si>
  <si>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</si>
  <si>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</si>
  <si>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</si>
  <si>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</si>
  <si>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</si>
  <si>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</si>
  <si>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</si>
  <si>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</si>
  <si>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</si>
  <si>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</si>
  <si>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</si>
  <si>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</si>
  <si>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</si>
  <si>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</si>
  <si>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</si>
  <si>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</si>
  <si>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</si>
  <si>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</si>
  <si>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</si>
  <si>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</si>
  <si>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</si>
  <si>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</si>
  <si>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</si>
  <si>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</si>
  <si>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</si>
  <si>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</si>
  <si>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</si>
  <si>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</si>
  <si>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</si>
  <si>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</si>
  <si>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</si>
  <si>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</si>
  <si>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</si>
  <si>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</si>
  <si>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</si>
  <si>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</si>
  <si>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</si>
  <si>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</si>
  <si>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</si>
  <si>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</si>
  <si>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</si>
  <si>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</si>
  <si>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</si>
  <si>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</si>
  <si>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</si>
  <si>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</si>
  <si>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</si>
  <si>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</si>
  <si>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</si>
  <si>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</si>
  <si>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</si>
  <si>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</si>
  <si>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</si>
  <si>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</si>
  <si>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</si>
  <si>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</si>
  <si>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</si>
  <si>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</si>
  <si>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</si>
  <si>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</si>
  <si>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</si>
  <si>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</si>
  <si>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</si>
  <si>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</si>
  <si>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</si>
  <si>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</si>
  <si>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</si>
  <si>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</si>
  <si>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</si>
  <si>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</si>
  <si>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</si>
  <si>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</si>
  <si>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</si>
  <si>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</si>
  <si>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</si>
  <si>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</si>
  <si>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</si>
  <si>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</si>
  <si>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</si>
  <si>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</si>
  <si>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</si>
  <si>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</si>
  <si>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</si>
  <si>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</si>
  <si>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</si>
  <si>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</si>
  <si>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</si>
  <si>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</si>
  <si>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</si>
  <si>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</si>
  <si>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</si>
  <si>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</si>
  <si>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</si>
  <si>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</si>
  <si>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</si>
  <si>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</si>
  <si>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</si>
  <si>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</si>
  <si>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</si>
  <si>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</si>
  <si>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</si>
  <si>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</si>
  <si>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</si>
  <si>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</si>
  <si>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</si>
  <si>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</si>
  <si>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</si>
  <si>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</si>
  <si>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</si>
  <si>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</si>
  <si>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</si>
  <si>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</si>
  <si>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</si>
  <si>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</si>
  <si>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</si>
  <si>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</si>
  <si>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</si>
  <si>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</si>
  <si>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</si>
  <si>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</si>
  <si>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</si>
  <si>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</si>
  <si>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</si>
  <si>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</si>
  <si>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</si>
  <si>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</si>
  <si>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</si>
  <si>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</si>
  <si>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</si>
  <si>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</si>
  <si>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</si>
  <si>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</si>
  <si>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</si>
  <si>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</si>
  <si>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</si>
  <si>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</si>
  <si>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</si>
  <si>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</si>
  <si>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</si>
  <si>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</si>
  <si>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</si>
  <si>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</si>
  <si>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</si>
  <si>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</si>
  <si>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</si>
  <si>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</si>
  <si>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</si>
  <si>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</si>
  <si>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</si>
  <si>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</si>
  <si>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</si>
  <si>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</si>
  <si>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</si>
  <si>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</si>
  <si>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</si>
  <si>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</si>
  <si>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</si>
  <si>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</si>
  <si>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</si>
  <si>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</si>
  <si>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</si>
  <si>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</si>
  <si>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</si>
  <si>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</si>
  <si>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</si>
  <si>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</si>
  <si>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</si>
  <si>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</si>
  <si>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</si>
  <si>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</si>
  <si>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</si>
  <si>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</si>
  <si>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</si>
  <si>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</si>
  <si>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</si>
  <si>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</si>
  <si>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</si>
  <si>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</si>
  <si>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</si>
  <si>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</si>
  <si>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</si>
  <si>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</si>
  <si>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</si>
  <si>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</si>
  <si>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</si>
  <si>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</si>
  <si>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</si>
  <si>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</si>
  <si>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</si>
  <si>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</si>
  <si>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</si>
  <si>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</si>
  <si>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</si>
  <si>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</si>
  <si>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</si>
  <si>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</si>
  <si>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</si>
  <si>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</si>
  <si>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</si>
  <si>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</si>
  <si>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</si>
  <si>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</si>
  <si>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</si>
  <si>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</si>
  <si>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</si>
  <si>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</si>
  <si>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</si>
  <si>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</si>
  <si>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</si>
  <si>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</si>
  <si>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</si>
  <si>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</si>
  <si>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</si>
  <si>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</si>
  <si>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</si>
  <si>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</si>
  <si>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</si>
  <si>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</si>
  <si>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</si>
  <si>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</si>
  <si>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</si>
  <si>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</si>
  <si>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</si>
  <si>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</si>
  <si>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</si>
  <si>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</si>
  <si>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</si>
  <si>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</si>
  <si>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</si>
  <si>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</si>
  <si>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</si>
  <si>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</si>
  <si>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</si>
  <si>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</si>
  <si>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</si>
  <si>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</si>
  <si>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</si>
  <si>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</si>
  <si>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</si>
  <si>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</si>
  <si>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</si>
  <si>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</si>
  <si>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</si>
  <si>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</si>
  <si>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</si>
  <si>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</si>
  <si>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</si>
  <si>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</si>
  <si>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</si>
  <si>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</si>
  <si>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</si>
  <si>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</si>
  <si>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</si>
  <si>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</si>
  <si>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</si>
  <si>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</si>
  <si>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</si>
  <si>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</si>
  <si>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</si>
  <si>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</si>
  <si>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</si>
  <si>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</si>
  <si>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</si>
  <si>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</si>
  <si>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</si>
  <si>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</si>
  <si>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</si>
  <si>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</si>
  <si>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</si>
  <si>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</si>
  <si>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</si>
  <si>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</si>
  <si>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</si>
  <si>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</si>
  <si>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</si>
  <si>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</si>
  <si>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</si>
  <si>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</si>
  <si>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</si>
  <si>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</si>
  <si>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</si>
  <si>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</si>
  <si>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</si>
  <si>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</si>
  <si>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</si>
  <si>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</si>
  <si>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</si>
  <si>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</si>
  <si>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</si>
  <si>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</si>
  <si>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</si>
  <si>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</si>
  <si>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</si>
  <si>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</si>
  <si>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</si>
  <si>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</si>
  <si>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</si>
  <si>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</si>
  <si>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</si>
  <si>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</si>
  <si>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</si>
  <si>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</si>
  <si>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</si>
  <si>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</si>
  <si>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</si>
  <si>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</si>
  <si>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</si>
  <si>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</si>
  <si>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</si>
  <si>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</si>
  <si>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</si>
  <si>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</si>
  <si>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</si>
  <si>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</si>
  <si>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</si>
  <si>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</si>
  <si>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</si>
  <si>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</si>
  <si>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</si>
  <si>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</si>
  <si>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</si>
  <si>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</si>
  <si>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</si>
  <si>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</si>
  <si>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</si>
  <si>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</si>
  <si>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</si>
  <si>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</si>
  <si>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</si>
  <si>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</si>
  <si>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</si>
  <si>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</si>
  <si>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</si>
  <si>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</si>
  <si>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</si>
  <si>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</si>
  <si>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</si>
  <si>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</si>
  <si>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</si>
  <si>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</si>
  <si>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</si>
  <si>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</si>
  <si>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</si>
  <si>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</si>
  <si>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</si>
  <si>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</si>
  <si>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</si>
  <si>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</si>
  <si>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</si>
  <si>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</si>
  <si>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</si>
  <si>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</si>
  <si>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</si>
  <si>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</si>
  <si>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</si>
  <si>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</si>
  <si>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</si>
  <si>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</si>
  <si>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</si>
  <si>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</si>
  <si>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</si>
  <si>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</si>
  <si>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</si>
  <si>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</si>
  <si>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</si>
  <si>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</si>
  <si>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</si>
  <si>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</si>
  <si>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</si>
  <si>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</si>
  <si>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</si>
  <si>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</si>
  <si>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</si>
  <si>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</si>
  <si>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</si>
  <si>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</si>
  <si>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</si>
  <si>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</si>
  <si>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</si>
  <si>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</si>
  <si>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</si>
  <si>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</si>
  <si>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</si>
  <si>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</si>
  <si>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</si>
  <si>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</si>
  <si>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</si>
  <si>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</si>
  <si>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</si>
  <si>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</si>
  <si>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</si>
  <si>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</si>
  <si>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</si>
  <si>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</si>
  <si>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</si>
  <si>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</si>
  <si>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</si>
  <si>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</si>
  <si>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</si>
  <si>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</si>
  <si>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</si>
  <si>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</si>
  <si>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</si>
  <si>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</si>
  <si>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</si>
  <si>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</si>
  <si>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</si>
  <si>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</si>
  <si>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</si>
  <si>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</si>
  <si>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</si>
  <si>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</si>
  <si>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</si>
  <si>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</si>
  <si>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</si>
  <si>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</si>
  <si>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</si>
  <si>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</si>
  <si>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</si>
  <si>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</si>
  <si>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</si>
  <si>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</si>
  <si>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</si>
  <si>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</si>
  <si>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</si>
  <si>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</si>
  <si>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</si>
  <si>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</si>
  <si>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</si>
  <si>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</si>
  <si>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</si>
  <si>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</si>
  <si>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</si>
  <si>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</si>
  <si>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</si>
  <si>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</si>
  <si>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</si>
  <si>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</si>
  <si>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</si>
  <si>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</si>
  <si>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</si>
  <si>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</si>
  <si>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</si>
  <si>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</si>
  <si>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</si>
  <si>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</si>
  <si>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</si>
  <si>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</si>
  <si>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</si>
  <si>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</si>
  <si>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</si>
  <si>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</si>
  <si>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</si>
  <si>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</si>
  <si>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</si>
  <si>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</si>
  <si>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</si>
  <si>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</si>
  <si>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</si>
  <si>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</si>
  <si>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</si>
  <si>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</si>
  <si>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</si>
  <si>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</si>
  <si>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</si>
  <si>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</si>
  <si>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</si>
  <si>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</si>
  <si>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</si>
  <si>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</si>
  <si>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</si>
  <si>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</si>
  <si>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</si>
  <si>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</si>
  <si>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</si>
  <si>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</si>
  <si>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</si>
  <si>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</si>
  <si>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</si>
  <si>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</si>
  <si>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</si>
  <si>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</si>
  <si>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</si>
  <si>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</si>
  <si>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</si>
  <si>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</si>
  <si>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</si>
  <si>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</si>
  <si>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</si>
  <si>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</si>
  <si>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</si>
  <si>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</si>
  <si>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</si>
  <si>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</si>
  <si>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</si>
  <si>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</si>
  <si>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</si>
  <si>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</si>
  <si>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</si>
  <si>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</si>
  <si>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</si>
  <si>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</si>
  <si>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</si>
  <si>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</si>
  <si>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</si>
  <si>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</si>
  <si>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</si>
  <si>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</si>
  <si>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</si>
  <si>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</si>
  <si>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</si>
  <si>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</si>
  <si>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</si>
  <si>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</si>
  <si>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</si>
  <si>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</si>
  <si>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</si>
  <si>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</si>
  <si>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</si>
  <si>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</si>
  <si>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</si>
  <si>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</si>
  <si>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</si>
  <si>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</si>
  <si>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</si>
  <si>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</si>
  <si>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</si>
  <si>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</si>
  <si>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</si>
  <si>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</si>
  <si>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</si>
  <si>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</si>
  <si>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</si>
  <si>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</si>
  <si>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</si>
  <si>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</si>
  <si>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</si>
  <si>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</si>
  <si>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</si>
  <si>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</si>
  <si>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</si>
  <si>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</si>
  <si>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</si>
  <si>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</si>
  <si>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</si>
  <si>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</si>
  <si>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</si>
  <si>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</si>
  <si>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</si>
  <si>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</si>
  <si>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</si>
  <si>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</si>
  <si>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</si>
  <si>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</si>
  <si>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</si>
  <si>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</si>
  <si>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</si>
  <si>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</si>
  <si>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</si>
  <si>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</si>
  <si>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</si>
  <si>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</si>
  <si>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</si>
  <si>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</si>
  <si>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</si>
  <si>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</si>
  <si>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</si>
  <si>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</si>
  <si>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</si>
  <si>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</si>
  <si>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</si>
  <si>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</si>
  <si>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</si>
  <si>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</si>
  <si>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</si>
  <si>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</si>
  <si>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</si>
  <si>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</si>
  <si>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</si>
  <si>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</si>
  <si>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</si>
  <si>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</si>
  <si>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</si>
  <si>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</si>
  <si>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</si>
  <si>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</si>
  <si>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</si>
  <si>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</si>
  <si>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</si>
  <si>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</si>
  <si>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</si>
  <si>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</si>
  <si>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</si>
  <si>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</si>
  <si>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</si>
  <si>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</si>
  <si>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</si>
  <si>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</si>
  <si>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</si>
  <si>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</si>
  <si>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</si>
  <si>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</si>
  <si>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</si>
  <si>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</si>
  <si>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</si>
  <si>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</si>
  <si>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</si>
  <si>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</si>
  <si>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</si>
  <si>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</si>
  <si>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</si>
  <si>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</si>
  <si>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</si>
  <si>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</si>
  <si>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</si>
  <si>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</si>
  <si>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</si>
  <si>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</si>
  <si>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</si>
  <si>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</si>
  <si>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</si>
  <si>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</si>
  <si>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</si>
  <si>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</si>
  <si>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</si>
  <si>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</si>
  <si>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</si>
  <si>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</si>
  <si>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</si>
  <si>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</si>
  <si>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</si>
  <si>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</si>
  <si>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</si>
  <si>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</si>
  <si>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</si>
  <si>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</si>
  <si>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</si>
  <si>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</si>
  <si>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</si>
  <si>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</si>
  <si>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</si>
  <si>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</si>
  <si>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</si>
  <si>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</si>
  <si>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</si>
  <si>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</si>
  <si>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</si>
  <si>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</si>
  <si>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</si>
  <si>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</si>
  <si>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</si>
  <si>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</si>
  <si>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</si>
  <si>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</si>
  <si>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</si>
  <si>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</si>
  <si>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</si>
  <si>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</si>
  <si>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</si>
  <si>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</si>
  <si>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</si>
  <si>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</si>
  <si>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</si>
  <si>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</si>
  <si>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</si>
  <si>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</si>
  <si>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</si>
  <si>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</si>
  <si>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</si>
  <si>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</si>
  <si>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</si>
  <si>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</si>
  <si>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</si>
  <si>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</si>
  <si>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</si>
  <si>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</si>
  <si>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</si>
  <si>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</si>
  <si>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</si>
  <si>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</si>
  <si>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</si>
  <si>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</si>
  <si>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</si>
  <si>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</si>
  <si>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</si>
  <si>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</si>
  <si>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</si>
  <si>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</si>
  <si>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</si>
  <si>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</si>
  <si>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</si>
  <si>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</si>
  <si>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</si>
  <si>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</si>
  <si>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</si>
  <si>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</si>
  <si>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</si>
  <si>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</si>
  <si>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</si>
  <si>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</si>
  <si>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</si>
  <si>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</si>
  <si>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</si>
  <si>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</si>
  <si>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</si>
  <si>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</si>
  <si>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</si>
  <si>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</si>
  <si>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</si>
  <si>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</si>
  <si>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</si>
  <si>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</si>
  <si>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</si>
  <si>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</si>
  <si>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</si>
  <si>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</si>
  <si>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</si>
  <si>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</si>
  <si>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</si>
  <si>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</si>
  <si>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</si>
  <si>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</si>
  <si>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</si>
  <si>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</si>
  <si>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</si>
  <si>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</si>
  <si>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</si>
  <si>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</si>
  <si>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</si>
  <si>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</si>
  <si>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</si>
  <si>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</si>
  <si>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</si>
  <si>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</si>
  <si>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</si>
  <si>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</si>
  <si>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</si>
  <si>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</si>
  <si>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</si>
  <si>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</si>
  <si>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</si>
  <si>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</si>
  <si>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</si>
  <si>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</si>
  <si>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</si>
  <si>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</si>
  <si>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</si>
  <si>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</si>
  <si>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</si>
  <si>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</si>
  <si>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</si>
  <si>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</si>
  <si>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</si>
  <si>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</si>
  <si>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</si>
  <si>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</si>
  <si>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</si>
  <si>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</si>
  <si>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</si>
  <si>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</si>
  <si>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</si>
  <si>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</si>
  <si>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</si>
  <si>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</si>
  <si>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</si>
  <si>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</si>
  <si>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</si>
  <si>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</si>
  <si>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</si>
  <si>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</si>
  <si>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</si>
  <si>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</si>
  <si>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</si>
  <si>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</si>
  <si>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</si>
  <si>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</si>
  <si>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</si>
  <si>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</si>
  <si>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</si>
  <si>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</si>
  <si>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</si>
  <si>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</si>
  <si>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</si>
  <si>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</si>
  <si>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</si>
  <si>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</si>
  <si>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</si>
  <si>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</si>
  <si>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</si>
  <si>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</si>
  <si>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</si>
  <si>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</si>
  <si>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</si>
  <si>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</si>
  <si>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</si>
  <si>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</si>
  <si>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</si>
  <si>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</si>
  <si>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</si>
  <si>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</si>
  <si>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</si>
  <si>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</si>
  <si>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</si>
  <si>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</si>
  <si>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</si>
  <si>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</si>
  <si>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</si>
  <si>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</si>
  <si>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</si>
  <si>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</si>
  <si>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</si>
  <si>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</si>
  <si>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</si>
  <si>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</si>
  <si>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</si>
  <si>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</si>
  <si>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</si>
  <si>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</si>
  <si>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</si>
  <si>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</si>
  <si>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</si>
  <si>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</si>
  <si>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</si>
  <si>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</si>
  <si>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</si>
  <si>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</si>
  <si>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</si>
  <si>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</si>
  <si>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</si>
  <si>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</si>
  <si>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</si>
  <si>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</si>
  <si>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</si>
  <si>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</si>
  <si>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</si>
  <si>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</si>
  <si>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</si>
  <si>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</si>
  <si>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</si>
  <si>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</si>
  <si>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</si>
  <si>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</si>
  <si>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</si>
  <si>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</si>
  <si>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</si>
  <si>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</si>
  <si>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</si>
  <si>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</si>
  <si>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</si>
  <si>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</si>
  <si>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</si>
  <si>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</si>
  <si>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</si>
  <si>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</si>
  <si>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</si>
  <si>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</si>
  <si>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</si>
  <si>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</si>
  <si>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</si>
  <si>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</si>
  <si>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</si>
  <si>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</si>
  <si>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</si>
  <si>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</si>
  <si>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</si>
  <si>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</si>
  <si>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</si>
  <si>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</si>
  <si>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</si>
  <si>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</si>
  <si>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</si>
  <si>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</si>
  <si>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</si>
  <si>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</si>
  <si>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</si>
  <si>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</si>
  <si>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</si>
  <si>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</si>
  <si>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</si>
  <si>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</si>
  <si>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</si>
  <si>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</si>
  <si>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</si>
  <si>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</si>
  <si>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</si>
  <si>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</si>
  <si>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</si>
  <si>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</si>
  <si>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</si>
  <si>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</si>
  <si>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</si>
  <si>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</si>
  <si>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</si>
  <si>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</si>
  <si>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</si>
  <si>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</si>
  <si>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</si>
  <si>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</si>
  <si>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</si>
  <si>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</si>
  <si>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</si>
  <si>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</si>
  <si>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</si>
  <si>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</si>
  <si>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</si>
  <si>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</si>
  <si>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</si>
  <si>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</si>
  <si>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</si>
  <si>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</si>
  <si>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</si>
  <si>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</si>
  <si>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</si>
  <si>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</si>
  <si>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</si>
  <si>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</si>
  <si>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</si>
  <si>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</si>
  <si>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</si>
  <si>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</si>
  <si>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</si>
  <si>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</si>
  <si>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</si>
  <si>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</si>
  <si>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</si>
  <si>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</si>
  <si>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</si>
  <si>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</si>
  <si>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</si>
  <si>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</si>
  <si>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</si>
  <si>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</si>
  <si>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</si>
  <si>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</si>
  <si>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</si>
  <si>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</si>
  <si>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</si>
  <si>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</si>
  <si>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</si>
  <si>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</si>
  <si>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</si>
  <si>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</si>
  <si>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</si>
  <si>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</si>
  <si>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</si>
  <si>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</si>
  <si>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</si>
  <si>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</si>
  <si>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</si>
  <si>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</si>
  <si>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</si>
  <si>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</si>
  <si>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</si>
  <si>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</si>
  <si>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</si>
  <si>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</si>
  <si>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</si>
  <si>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</si>
  <si>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</si>
  <si>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</si>
  <si>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</si>
  <si>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</si>
  <si>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</si>
  <si>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</si>
  <si>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</si>
  <si>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</si>
  <si>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</si>
  <si>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</si>
  <si>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</si>
  <si>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</si>
  <si>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</si>
  <si>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</si>
  <si>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</si>
  <si>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</si>
  <si>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</si>
  <si>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</si>
  <si>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</si>
  <si>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</si>
  <si>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</si>
  <si>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</si>
  <si>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</si>
  <si>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</si>
  <si>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</si>
  <si>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</si>
  <si>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</si>
  <si>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</si>
  <si>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</si>
  <si>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</si>
  <si>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</si>
  <si>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</si>
  <si>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</si>
  <si>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</si>
  <si>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</si>
  <si>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</si>
  <si>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</si>
  <si>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</si>
  <si>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</si>
  <si>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</si>
  <si>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</si>
  <si>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</si>
  <si>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</si>
  <si>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</si>
  <si>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</si>
  <si>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</si>
  <si>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</si>
  <si>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</si>
  <si>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</si>
  <si>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</si>
  <si>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</si>
  <si>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</si>
  <si>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</si>
  <si>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</si>
  <si>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</si>
  <si>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</si>
  <si>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</si>
  <si>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</si>
  <si>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</si>
  <si>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</si>
  <si>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</si>
  <si>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</si>
  <si>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</si>
  <si>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</si>
  <si>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</si>
  <si>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</si>
  <si>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</si>
  <si>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</si>
  <si>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</si>
  <si>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</si>
  <si>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</si>
  <si>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</si>
  <si>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</si>
  <si>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</si>
  <si>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</si>
  <si>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</si>
  <si>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</si>
  <si>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</si>
  <si>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</si>
  <si>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</si>
  <si>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</si>
  <si>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</si>
  <si>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</si>
  <si>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</si>
  <si>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</si>
  <si>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</si>
  <si>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</si>
  <si>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</si>
  <si>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</si>
  <si>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</si>
  <si>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</si>
  <si>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</si>
  <si>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</si>
  <si>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</si>
  <si>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</si>
  <si>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</si>
  <si>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</si>
  <si>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</si>
  <si>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</si>
  <si>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</si>
  <si>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</si>
  <si>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</si>
  <si>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</si>
  <si>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</si>
  <si>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</si>
  <si>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</si>
  <si>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</si>
  <si>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</si>
  <si>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</si>
  <si>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</si>
  <si>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</si>
  <si>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</si>
  <si>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</si>
  <si>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</si>
  <si>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</si>
  <si>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</si>
  <si>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</si>
  <si>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</si>
  <si>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</si>
  <si>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</si>
  <si>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</si>
  <si>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</si>
  <si>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</si>
  <si>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</si>
  <si>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</si>
  <si>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</si>
  <si>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</si>
  <si>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</si>
  <si>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</si>
  <si>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</si>
  <si>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</si>
  <si>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</si>
  <si>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</si>
  <si>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</si>
  <si>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</si>
  <si>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</si>
  <si>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</si>
  <si>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</si>
  <si>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</si>
  <si>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</si>
  <si>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</si>
  <si>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</si>
  <si>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</si>
  <si>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</si>
  <si>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</si>
  <si>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</si>
  <si>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</si>
  <si>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</si>
  <si>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</si>
  <si>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</si>
  <si>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</si>
  <si>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</si>
  <si>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</si>
  <si>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</si>
  <si>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</si>
  <si>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</si>
  <si>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</si>
  <si>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</si>
  <si>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</si>
  <si>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</si>
  <si>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</si>
  <si>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</si>
  <si>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</si>
  <si>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</si>
  <si>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</si>
  <si>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</si>
  <si>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</si>
  <si>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</si>
  <si>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</si>
  <si>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</si>
  <si>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</si>
  <si>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</si>
  <si>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</si>
  <si>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</si>
  <si>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</si>
  <si>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</si>
  <si>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</si>
  <si>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</si>
  <si>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</si>
  <si>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</si>
  <si>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</si>
  <si>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</si>
  <si>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</si>
  <si>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</si>
  <si>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</si>
  <si>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</si>
  <si>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</si>
  <si>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</si>
  <si>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</si>
  <si>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</si>
  <si>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</si>
  <si>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</si>
  <si>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</si>
  <si>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</si>
  <si>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</si>
  <si>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</si>
  <si>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</si>
  <si>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</si>
  <si>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</si>
  <si>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</si>
  <si>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</si>
  <si>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</si>
  <si>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</si>
  <si>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</si>
  <si>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</si>
  <si>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</si>
  <si>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</si>
  <si>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</si>
  <si>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</si>
  <si>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</si>
  <si>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</si>
  <si>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</si>
  <si>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</si>
  <si>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</si>
  <si>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</si>
  <si>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</si>
  <si>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</si>
  <si>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</si>
  <si>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</si>
  <si>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</si>
  <si>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</si>
  <si>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</si>
  <si>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</si>
  <si>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</si>
  <si>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</si>
  <si>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</si>
  <si>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</si>
  <si>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</si>
  <si>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</si>
  <si>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</si>
  <si>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</si>
  <si>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</si>
  <si>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</si>
  <si>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</si>
  <si>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</si>
  <si>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</si>
  <si>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</si>
  <si>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</si>
  <si>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</si>
  <si>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</si>
  <si>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</si>
  <si>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</si>
  <si>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</si>
  <si>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</si>
  <si>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</si>
  <si>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</si>
  <si>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</si>
  <si>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</si>
  <si>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</si>
  <si>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</si>
  <si>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</si>
  <si>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</si>
  <si>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</si>
  <si>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</si>
  <si>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</si>
  <si>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</si>
  <si>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</si>
  <si>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</si>
  <si>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</si>
  <si>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</si>
  <si>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</si>
  <si>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</si>
  <si>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</si>
  <si>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</si>
  <si>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</si>
  <si>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</si>
  <si>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</si>
  <si>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</si>
  <si>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</si>
  <si>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</si>
  <si>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</si>
  <si>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</si>
  <si>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</si>
  <si>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</si>
  <si>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</si>
  <si>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</si>
  <si>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</si>
  <si>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</si>
  <si>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</si>
  <si>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</si>
  <si>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</si>
  <si>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</si>
  <si>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</si>
  <si>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</si>
  <si>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</si>
  <si>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</si>
  <si>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</si>
  <si>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</si>
  <si>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</si>
  <si>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</si>
  <si>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</si>
  <si>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</si>
  <si>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</si>
  <si>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</si>
  <si>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</si>
  <si>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</si>
  <si>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</si>
  <si>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</si>
  <si>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</si>
  <si>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</si>
  <si>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</si>
  <si>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</si>
  <si>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</si>
  <si>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</si>
  <si>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</si>
  <si>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</si>
  <si>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</si>
  <si>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</si>
  <si>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</si>
  <si>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</si>
  <si>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</si>
  <si>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</si>
  <si>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</si>
  <si>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</si>
  <si>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</si>
  <si>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</si>
  <si>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</si>
  <si>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</si>
  <si>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</si>
  <si>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</si>
  <si>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</si>
  <si>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</si>
  <si>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</si>
  <si>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</si>
  <si>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</si>
  <si>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</si>
  <si>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</si>
  <si>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</si>
  <si>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</si>
  <si>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</si>
  <si>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</si>
  <si>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</si>
  <si>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</si>
  <si>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</si>
  <si>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</si>
  <si>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</si>
  <si>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</si>
  <si>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</si>
  <si>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</si>
  <si>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</si>
  <si>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</si>
  <si>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</si>
  <si>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</si>
  <si>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</si>
  <si>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</si>
  <si>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</si>
  <si>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</si>
  <si>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</si>
  <si>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</si>
  <si>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</si>
  <si>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</si>
  <si>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</si>
  <si>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</si>
  <si>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</si>
  <si>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</si>
  <si>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</si>
  <si>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</si>
  <si>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</si>
  <si>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</si>
  <si>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</si>
  <si>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</si>
  <si>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</si>
  <si>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</si>
  <si>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</si>
  <si>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</si>
  <si>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</si>
  <si>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</si>
  <si>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</si>
  <si>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</si>
  <si>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</si>
  <si>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</si>
  <si>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</si>
  <si>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</si>
  <si>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</si>
  <si>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</si>
  <si>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</si>
  <si>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</si>
  <si>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</si>
  <si>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</si>
  <si>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</si>
  <si>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</si>
  <si>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</si>
  <si>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</si>
  <si>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</si>
  <si>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</si>
  <si>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</si>
  <si>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</si>
  <si>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</si>
  <si>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</si>
  <si>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</si>
  <si>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</si>
  <si>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</si>
  <si>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</si>
  <si>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</si>
  <si>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</si>
  <si>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</si>
  <si>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</si>
  <si>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</si>
  <si>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</si>
  <si>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</si>
  <si>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</si>
  <si>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</si>
  <si>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</si>
  <si>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</si>
  <si>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</si>
  <si>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</si>
  <si>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</si>
  <si>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</si>
  <si>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</si>
  <si>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</si>
  <si>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</si>
  <si>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</si>
  <si>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</si>
  <si>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</si>
  <si>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</si>
  <si>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</si>
  <si>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</si>
  <si>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</si>
  <si>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</si>
  <si>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</si>
  <si>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</si>
  <si>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</si>
  <si>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</si>
  <si>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</si>
  <si>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</si>
  <si>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</si>
  <si>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</si>
  <si>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</si>
  <si>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</si>
  <si>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</si>
  <si>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</si>
  <si>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</si>
  <si>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</si>
  <si>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</si>
  <si>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</si>
  <si>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</si>
  <si>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</si>
  <si>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</si>
  <si>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</si>
  <si>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</si>
  <si>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</si>
  <si>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</si>
  <si>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</si>
  <si>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</si>
  <si>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</si>
  <si>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</si>
  <si>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</si>
  <si>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</si>
  <si>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</si>
  <si>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</si>
  <si>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</si>
  <si>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</si>
  <si>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</si>
  <si>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</si>
  <si>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</si>
  <si>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</si>
  <si>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</si>
  <si>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</si>
  <si>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</si>
  <si>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</si>
  <si>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</si>
  <si>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</si>
  <si>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</si>
  <si>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</si>
  <si>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</si>
  <si>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</si>
  <si>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</si>
  <si>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</si>
  <si>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</si>
  <si>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</si>
  <si>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</si>
  <si>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</si>
  <si>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</si>
  <si>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</si>
  <si>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</si>
  <si>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</si>
  <si>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</si>
  <si>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</si>
  <si>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</si>
  <si>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</si>
  <si>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</si>
  <si>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</si>
  <si>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</si>
  <si>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</si>
  <si>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</si>
  <si>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</si>
  <si>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</si>
  <si>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</si>
  <si>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</si>
  <si>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</si>
  <si>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</si>
  <si>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</si>
  <si>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</si>
  <si>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</si>
  <si>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</si>
  <si>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</si>
  <si>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</si>
  <si>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</si>
  <si>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</si>
  <si>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</si>
  <si>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</si>
  <si>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</si>
  <si>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</si>
  <si>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</si>
  <si>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</si>
  <si>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</si>
  <si>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</si>
  <si>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</si>
  <si>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</si>
  <si>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</si>
  <si>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</si>
  <si>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</si>
  <si>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</si>
  <si>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</si>
  <si>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</si>
  <si>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</si>
  <si>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</si>
  <si>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</si>
  <si>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</si>
  <si>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</si>
  <si>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</si>
  <si>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</si>
  <si>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</si>
  <si>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</si>
  <si>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</si>
  <si>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</si>
  <si>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</si>
  <si>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</si>
  <si>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</si>
  <si>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</si>
  <si>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</si>
  <si>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</si>
  <si>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</si>
  <si>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</si>
  <si>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</si>
  <si>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</si>
  <si>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</si>
  <si>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</si>
  <si>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</si>
  <si>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</si>
  <si>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</si>
  <si>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</si>
  <si>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</si>
  <si>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</si>
  <si>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</si>
  <si>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</si>
  <si>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</si>
  <si>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</si>
  <si>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</si>
  <si>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</si>
  <si>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</si>
  <si>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</si>
  <si>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</si>
  <si>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</si>
  <si>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</si>
  <si>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</si>
  <si>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</si>
  <si>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</si>
  <si>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</si>
  <si>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</si>
  <si>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</si>
  <si>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</si>
  <si>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</si>
  <si>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</si>
  <si>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</si>
  <si>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</si>
  <si>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</si>
  <si>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</si>
  <si>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</si>
  <si>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</si>
  <si>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</si>
  <si>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</si>
  <si>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</si>
  <si>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</si>
  <si>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</si>
  <si>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</si>
  <si>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</si>
  <si>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</si>
  <si>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</si>
  <si>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</si>
  <si>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</si>
  <si>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</si>
  <si>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</si>
  <si>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</si>
  <si>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</si>
  <si>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</si>
  <si>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</si>
  <si>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</si>
  <si>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</si>
  <si>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</si>
  <si>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</si>
  <si>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</si>
  <si>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</si>
  <si>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</si>
  <si>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</si>
  <si>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</si>
  <si>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</si>
  <si>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</si>
  <si>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</si>
  <si>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</si>
  <si>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</si>
  <si>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</si>
  <si>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</si>
  <si>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</si>
  <si>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</si>
  <si>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</si>
  <si>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</si>
  <si>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</si>
  <si>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</si>
  <si>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</si>
  <si>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</si>
  <si>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</si>
  <si>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</si>
  <si>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</si>
  <si>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</si>
  <si>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</si>
  <si>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</si>
  <si>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</si>
  <si>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</si>
  <si>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</si>
  <si>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</si>
  <si>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</si>
  <si>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</si>
  <si>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</si>
  <si>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</si>
  <si>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</si>
  <si>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</si>
  <si>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</si>
  <si>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</si>
  <si>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</si>
  <si>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</si>
  <si>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</si>
  <si>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</si>
  <si>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</si>
  <si>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</si>
  <si>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</si>
  <si>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</si>
  <si>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</si>
  <si>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</si>
  <si>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</si>
  <si>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</si>
  <si>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</si>
  <si>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</si>
  <si>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</si>
  <si>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</si>
  <si>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</si>
  <si>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</si>
  <si>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</si>
  <si>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</si>
  <si>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</si>
  <si>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</si>
  <si>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</si>
  <si>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</si>
  <si>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</si>
  <si>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</si>
  <si>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</si>
  <si>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</si>
  <si>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</si>
  <si>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</si>
  <si>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</si>
  <si>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</si>
  <si>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</si>
  <si>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</si>
  <si>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</si>
  <si>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</si>
  <si>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</si>
  <si>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</si>
  <si>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</si>
  <si>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</si>
  <si>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</si>
  <si>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</si>
  <si>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</si>
  <si>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</si>
  <si>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</si>
  <si>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</si>
  <si>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</si>
  <si>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</si>
  <si>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</si>
  <si>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</si>
  <si>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</si>
  <si>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</si>
  <si>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</si>
  <si>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</si>
  <si>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</si>
  <si>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</si>
  <si>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</si>
  <si>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</si>
  <si>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</si>
  <si>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</si>
  <si>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</si>
  <si>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</si>
  <si>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</si>
  <si>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</si>
  <si>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</si>
  <si>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</si>
  <si>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</si>
  <si>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</si>
  <si>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</si>
  <si>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</si>
  <si>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</si>
  <si>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</si>
  <si>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</si>
  <si>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</si>
  <si>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</si>
  <si>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</si>
  <si>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</si>
  <si>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</si>
  <si>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</si>
  <si>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</si>
  <si>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</si>
  <si>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</si>
  <si>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</si>
  <si>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</si>
  <si>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</si>
  <si>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</si>
  <si>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</si>
  <si>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</si>
  <si>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</si>
  <si>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</si>
  <si>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</si>
  <si>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</si>
  <si>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</si>
  <si>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</si>
  <si>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</si>
  <si>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</si>
  <si>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</si>
  <si>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</si>
  <si>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</si>
  <si>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</si>
  <si>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</si>
  <si>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</si>
  <si>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</si>
  <si>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</si>
  <si>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</si>
  <si>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</si>
  <si>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</si>
  <si>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</si>
  <si>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</si>
  <si>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</si>
  <si>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</si>
  <si>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</si>
  <si>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</si>
  <si>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</si>
  <si>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</si>
  <si>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</si>
  <si>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</si>
  <si>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</si>
  <si>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</si>
  <si>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</si>
  <si>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</si>
  <si>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</si>
  <si>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</si>
  <si>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</si>
  <si>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</si>
  <si>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</si>
  <si>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</si>
  <si>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</si>
  <si>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</si>
  <si>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</si>
  <si>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</si>
  <si>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</si>
  <si>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</si>
  <si>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</si>
  <si>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</si>
  <si>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</si>
  <si>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</si>
  <si>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</si>
  <si>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</si>
  <si>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</si>
  <si>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</si>
  <si>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</si>
  <si>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</si>
  <si>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</si>
  <si>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</si>
  <si>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</si>
  <si>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</si>
  <si>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</si>
  <si>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</si>
  <si>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</si>
  <si>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</si>
  <si>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</si>
  <si>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</si>
  <si>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</si>
  <si>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</si>
  <si>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</si>
  <si>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</si>
  <si>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</si>
  <si>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</si>
  <si>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</si>
  <si>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</si>
  <si>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</si>
  <si>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</si>
  <si>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</si>
  <si>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</si>
  <si>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</si>
  <si>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</si>
  <si>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</si>
  <si>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</si>
  <si>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</si>
  <si>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</si>
  <si>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</si>
  <si>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</si>
  <si>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</si>
  <si>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</si>
  <si>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</si>
  <si>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</si>
  <si>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</si>
  <si>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</si>
  <si>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</si>
  <si>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</si>
  <si>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</si>
  <si>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</si>
  <si>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</si>
  <si>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</si>
  <si>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</si>
  <si>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</si>
  <si>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</si>
  <si>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</si>
  <si>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</si>
  <si>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</si>
  <si>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</si>
  <si>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</si>
  <si>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</si>
  <si>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</si>
  <si>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</si>
  <si>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</si>
  <si>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</si>
  <si>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</si>
  <si>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</si>
  <si>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</si>
  <si>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</si>
  <si>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</si>
  <si>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</si>
  <si>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</si>
  <si>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</si>
  <si>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</si>
  <si>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</si>
  <si>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</si>
  <si>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</si>
  <si>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</si>
  <si>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</si>
  <si>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</si>
  <si>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</si>
  <si>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</si>
  <si>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</si>
  <si>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</si>
  <si>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</si>
  <si>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</si>
  <si>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</si>
  <si>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</si>
  <si>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</si>
  <si>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</si>
  <si>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</si>
  <si>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</si>
  <si>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</si>
  <si>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</si>
  <si>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</si>
  <si>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</si>
  <si>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</si>
  <si>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</si>
  <si>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</si>
  <si>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</si>
  <si>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</si>
  <si>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</si>
  <si>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</si>
  <si>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</si>
  <si>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</si>
  <si>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</si>
  <si>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</si>
  <si>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</si>
  <si>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</si>
  <si>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</si>
  <si>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</si>
  <si>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</si>
  <si>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</si>
  <si>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</si>
  <si>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</si>
  <si>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</si>
  <si>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</si>
  <si>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</si>
  <si>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</si>
  <si>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</si>
  <si>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</si>
  <si>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</si>
  <si>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</si>
  <si>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</si>
  <si>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</si>
  <si>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</si>
  <si>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</si>
  <si>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</si>
  <si>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</si>
  <si>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</si>
  <si>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</si>
  <si>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</si>
  <si>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</si>
  <si>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</si>
  <si>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</si>
  <si>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</si>
  <si>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</si>
  <si>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</si>
  <si>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</si>
  <si>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</si>
  <si>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</si>
  <si>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</si>
  <si>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</si>
  <si>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</si>
  <si>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</si>
  <si>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</si>
  <si>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</si>
  <si>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</si>
  <si>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</si>
  <si>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</si>
  <si>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</si>
  <si>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</si>
  <si>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</si>
  <si>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</si>
  <si>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</si>
  <si>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</si>
  <si>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</si>
  <si>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</si>
  <si>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</si>
  <si>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</si>
  <si>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</si>
  <si>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</si>
  <si>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</si>
  <si>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</si>
  <si>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</si>
  <si>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</si>
  <si>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</si>
  <si>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</si>
  <si>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</si>
  <si>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</si>
  <si>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</si>
  <si>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</si>
  <si>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</si>
  <si>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</si>
  <si>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</si>
  <si>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</si>
  <si>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</si>
  <si>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</si>
  <si>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</si>
  <si>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</si>
  <si>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</si>
  <si>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</si>
  <si>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</si>
  <si>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</si>
  <si>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</si>
  <si>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</si>
  <si>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</si>
  <si>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</si>
  <si>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</si>
  <si>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</si>
  <si>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</si>
  <si>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</si>
  <si>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</si>
  <si>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</si>
  <si>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</si>
  <si>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</si>
  <si>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</si>
  <si>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</si>
  <si>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</si>
  <si>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</si>
  <si>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</si>
  <si>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</si>
  <si>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</si>
  <si>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</si>
  <si>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</si>
  <si>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</si>
  <si>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</si>
  <si>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</si>
  <si>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</si>
  <si>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</si>
  <si>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</si>
  <si>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</si>
  <si>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</si>
  <si>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</si>
  <si>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</si>
  <si>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</si>
  <si>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</si>
  <si>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</si>
  <si>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</si>
  <si>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</si>
  <si>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</si>
  <si>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</si>
  <si>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</si>
  <si>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</si>
  <si>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</si>
  <si>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</si>
  <si>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</si>
  <si>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</si>
  <si>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</si>
  <si>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</si>
  <si>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</si>
  <si>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</si>
  <si>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</si>
  <si>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</si>
  <si>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</si>
  <si>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</si>
  <si>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</si>
  <si>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</si>
  <si>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</si>
  <si>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</si>
  <si>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</si>
  <si>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</si>
  <si>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</si>
  <si>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</si>
  <si>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</si>
  <si>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</si>
  <si>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</si>
  <si>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</si>
  <si>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</si>
  <si>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</si>
  <si>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</si>
  <si>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</si>
  <si>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</si>
  <si>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</si>
  <si>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</si>
  <si>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</si>
  <si>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</si>
  <si>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</si>
  <si>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</si>
  <si>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</si>
  <si>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</si>
  <si>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</si>
  <si>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</si>
  <si>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</si>
  <si>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</si>
  <si>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</si>
  <si>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</si>
  <si>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</si>
  <si>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</si>
  <si>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</si>
  <si>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</si>
  <si>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</si>
  <si>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</si>
  <si>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</si>
  <si>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</si>
  <si>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</si>
  <si>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</si>
  <si>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</si>
  <si>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</si>
  <si>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</si>
  <si>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</si>
  <si>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</si>
  <si>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</si>
  <si>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</si>
  <si>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</si>
  <si>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</si>
  <si>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</si>
  <si>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</si>
  <si>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</si>
  <si>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</si>
  <si>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</si>
  <si>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</si>
  <si>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</si>
  <si>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</si>
  <si>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</si>
  <si>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</si>
  <si>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</si>
  <si>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</si>
  <si>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</si>
  <si>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</si>
  <si>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</si>
  <si>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</si>
  <si>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</si>
  <si>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</si>
  <si>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</si>
  <si>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</si>
  <si>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</si>
  <si>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</si>
  <si>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</si>
  <si>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</si>
  <si>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</si>
  <si>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</si>
  <si>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</si>
  <si>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</si>
  <si>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</si>
  <si>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</si>
  <si>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</si>
  <si>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</si>
  <si>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</si>
  <si>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</si>
  <si>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</si>
  <si>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</si>
  <si>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</si>
  <si>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</si>
  <si>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</si>
  <si>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</si>
  <si>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</si>
  <si>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</si>
  <si>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</si>
  <si>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</si>
  <si>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</si>
  <si>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</si>
  <si>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</si>
  <si>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</si>
  <si>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</si>
  <si>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</si>
  <si>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</si>
  <si>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</si>
  <si>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</si>
  <si>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</si>
  <si>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</si>
  <si>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</si>
  <si>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</si>
  <si>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</si>
  <si>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</si>
  <si>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</si>
  <si>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</si>
  <si>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</si>
  <si>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</si>
  <si>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</si>
  <si>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</si>
  <si>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</si>
  <si>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</si>
  <si>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</si>
  <si>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</si>
  <si>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</si>
  <si>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</si>
  <si>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</si>
  <si>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</si>
  <si>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</si>
  <si>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</si>
  <si>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</si>
  <si>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</si>
  <si>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</si>
  <si>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</si>
  <si>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</si>
  <si>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</si>
  <si>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</si>
  <si>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</si>
  <si>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</si>
  <si>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</si>
  <si>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</si>
  <si>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</si>
  <si>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</si>
  <si>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</si>
  <si>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</si>
  <si>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</si>
  <si>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</si>
  <si>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</si>
  <si>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</si>
  <si>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</si>
  <si>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</si>
  <si>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</si>
  <si>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</si>
  <si>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</si>
  <si>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</si>
  <si>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</si>
  <si>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</si>
  <si>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</si>
  <si>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</si>
  <si>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</si>
  <si>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</si>
  <si>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</si>
  <si>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</si>
  <si>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</si>
  <si>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</si>
  <si>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</si>
  <si>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</si>
  <si>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</si>
  <si>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</si>
  <si>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</si>
  <si>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</si>
  <si>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</si>
  <si>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</si>
  <si>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</si>
  <si>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</si>
  <si>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</si>
  <si>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</si>
  <si>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</si>
  <si>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</si>
  <si>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</si>
  <si>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</si>
  <si>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</si>
  <si>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</si>
  <si>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</si>
  <si>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</si>
  <si>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</si>
  <si>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</si>
  <si>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</si>
  <si>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</si>
  <si>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</si>
  <si>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</si>
  <si>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</si>
  <si>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</si>
  <si>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</si>
  <si>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</si>
  <si>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</si>
  <si>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</si>
  <si>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</si>
  <si>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</si>
  <si>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</si>
  <si>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</si>
  <si>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</si>
  <si>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</si>
  <si>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</si>
  <si>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</si>
  <si>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</si>
  <si>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</si>
  <si>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</si>
  <si>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</si>
  <si>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</si>
  <si>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</si>
  <si>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</si>
  <si>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</si>
  <si>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</si>
  <si>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</si>
  <si>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</si>
  <si>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</si>
  <si>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</si>
  <si>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</si>
  <si>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</si>
  <si>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</si>
  <si>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</si>
  <si>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</si>
  <si>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</si>
  <si>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</si>
  <si>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</si>
  <si>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</si>
  <si>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</si>
  <si>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</si>
  <si>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</si>
  <si>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</si>
  <si>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</si>
  <si>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</si>
  <si>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</si>
  <si>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</si>
  <si>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</si>
  <si>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</si>
  <si>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</si>
  <si>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</si>
  <si>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</si>
  <si>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</si>
  <si>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</si>
  <si>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</si>
  <si>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</si>
  <si>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</si>
  <si>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</si>
  <si>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</si>
  <si>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</si>
  <si>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</si>
  <si>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</si>
  <si>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</si>
  <si>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</si>
  <si>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</si>
  <si>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</si>
  <si>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</si>
  <si>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</si>
  <si>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</si>
  <si>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</si>
  <si>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</si>
  <si>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</si>
  <si>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</si>
  <si>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</si>
  <si>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</si>
  <si>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</si>
  <si>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</si>
  <si>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</si>
  <si>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</si>
  <si>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</si>
  <si>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</si>
  <si>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</si>
  <si>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</si>
  <si>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</si>
  <si>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</si>
  <si>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</si>
  <si>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</si>
  <si>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</si>
  <si>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</si>
  <si>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</si>
  <si>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</si>
  <si>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</si>
  <si>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</si>
  <si>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</si>
  <si>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</si>
  <si>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</si>
  <si>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</si>
  <si>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</si>
  <si>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</si>
  <si>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</si>
  <si>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</si>
  <si>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</si>
  <si>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</si>
  <si>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</si>
  <si>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</si>
  <si>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</si>
  <si>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</si>
  <si>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</si>
  <si>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</si>
  <si>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</si>
  <si>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</si>
  <si>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</si>
  <si>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</si>
  <si>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</si>
  <si>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</si>
  <si>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</si>
  <si>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</si>
  <si>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</si>
  <si>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</si>
  <si>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</si>
  <si>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</si>
  <si>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</si>
  <si>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</si>
  <si>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</si>
  <si>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</si>
  <si>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</si>
  <si>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</si>
  <si>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</si>
  <si>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</si>
  <si>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</si>
  <si>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</si>
  <si>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</si>
  <si>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</si>
  <si>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</si>
  <si>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</si>
  <si>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</si>
  <si>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</si>
  <si>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</si>
  <si>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</si>
  <si>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</si>
  <si>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</si>
  <si>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</si>
  <si>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</si>
  <si>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</si>
  <si>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</si>
  <si>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</si>
  <si>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</si>
  <si>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</si>
  <si>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</si>
  <si>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</si>
  <si>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</si>
  <si>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</si>
  <si>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</si>
  <si>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</si>
  <si>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</si>
  <si>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</si>
  <si>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</si>
  <si>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</si>
  <si>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</si>
  <si>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</si>
  <si>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</si>
  <si>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</si>
  <si>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</si>
  <si>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</si>
  <si>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</si>
  <si>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</si>
  <si>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</si>
  <si>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</si>
  <si>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</si>
  <si>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</si>
  <si>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</si>
  <si>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</si>
  <si>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</si>
  <si>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</si>
  <si>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</si>
  <si>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</si>
  <si>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</si>
  <si>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</si>
  <si>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</si>
  <si>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</si>
  <si>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</si>
  <si>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</si>
  <si>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</si>
  <si>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</si>
  <si>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</si>
  <si>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</si>
  <si>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</si>
  <si>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</si>
  <si>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</si>
  <si>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</si>
  <si>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</si>
  <si>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</si>
  <si>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</si>
  <si>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</si>
  <si>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</si>
  <si>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</si>
  <si>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</si>
  <si>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</si>
  <si>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</si>
  <si>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</si>
  <si>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</si>
  <si>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</si>
  <si>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</si>
  <si>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</si>
  <si>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</si>
  <si>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</si>
  <si>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</si>
  <si>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</si>
  <si>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</si>
  <si>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</si>
  <si>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</si>
  <si>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</si>
  <si>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</si>
  <si>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</si>
  <si>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</si>
  <si>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</si>
  <si>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</si>
  <si>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</si>
  <si>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</si>
  <si>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</si>
  <si>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</si>
  <si>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</si>
  <si>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</si>
  <si>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</si>
  <si>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</si>
  <si>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</si>
  <si>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</si>
  <si>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</si>
  <si>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</si>
  <si>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</si>
  <si>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</si>
  <si>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</si>
  <si>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</si>
  <si>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</si>
  <si>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</si>
  <si>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</si>
  <si>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</si>
  <si>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</si>
  <si>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</si>
  <si>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</si>
  <si>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</si>
  <si>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</si>
  <si>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</si>
  <si>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</si>
  <si>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</si>
  <si>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</si>
  <si>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</si>
  <si>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</si>
  <si>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</si>
  <si>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</si>
  <si>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</si>
  <si>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</si>
  <si>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</si>
  <si>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</si>
  <si>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</si>
  <si>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</si>
  <si>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</si>
  <si>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</si>
  <si>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</si>
  <si>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</si>
  <si>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</si>
  <si>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</si>
  <si>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</si>
  <si>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</si>
  <si>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</si>
  <si>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</si>
  <si>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</si>
  <si>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</si>
  <si>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</si>
  <si>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</si>
  <si>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</si>
  <si>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</si>
  <si>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</si>
  <si>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</si>
  <si>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</si>
  <si>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</si>
  <si>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</si>
  <si>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</si>
  <si>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</si>
  <si>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</si>
  <si>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</si>
  <si>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</si>
  <si>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</si>
  <si>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</si>
  <si>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</si>
  <si>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</si>
  <si>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</si>
  <si>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</si>
  <si>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</si>
  <si>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</si>
  <si>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</si>
  <si>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</si>
  <si>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</si>
  <si>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</si>
  <si>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</si>
  <si>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</si>
  <si>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</si>
  <si>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</si>
  <si>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</si>
  <si>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</si>
  <si>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</si>
  <si>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</si>
  <si>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</si>
  <si>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</si>
  <si>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</si>
  <si>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</si>
  <si>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</si>
  <si>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</si>
  <si>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</si>
  <si>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</si>
  <si>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</si>
  <si>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</si>
  <si>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</si>
  <si>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</si>
  <si>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</si>
  <si>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</si>
  <si>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</si>
  <si>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</si>
  <si>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</si>
  <si>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</si>
  <si>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</si>
  <si>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</si>
  <si>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</si>
  <si>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</si>
  <si>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</si>
  <si>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</si>
  <si>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</si>
  <si>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</si>
  <si>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</si>
  <si>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</si>
  <si>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</si>
  <si>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</si>
  <si>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</si>
  <si>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</si>
  <si>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</si>
  <si>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</si>
  <si>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</si>
  <si>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</si>
  <si>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</si>
  <si>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</si>
  <si>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</si>
  <si>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</si>
  <si>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</si>
  <si>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</si>
  <si>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</si>
  <si>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</si>
  <si>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</si>
  <si>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</si>
  <si>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</si>
  <si>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</si>
  <si>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</si>
  <si>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</si>
  <si>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</si>
  <si>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</si>
  <si>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</si>
  <si>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</si>
  <si>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</si>
  <si>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</si>
  <si>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</si>
  <si>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</si>
  <si>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</si>
  <si>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</si>
  <si>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</si>
  <si>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</si>
  <si>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</si>
  <si>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</si>
  <si>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</si>
  <si>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</si>
  <si>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</si>
  <si>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</si>
  <si>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</si>
  <si>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</si>
  <si>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</si>
  <si>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</si>
  <si>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</si>
  <si>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</si>
  <si>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</si>
  <si>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</si>
  <si>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</si>
  <si>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</si>
  <si>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</si>
  <si>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</si>
  <si>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</si>
  <si>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</si>
  <si>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</si>
  <si>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</si>
  <si>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</si>
  <si>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</si>
  <si>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</si>
  <si>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</si>
  <si>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</si>
  <si>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</si>
  <si>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</si>
  <si>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</si>
  <si>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</si>
  <si>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</si>
  <si>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</si>
  <si>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</si>
  <si>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</si>
  <si>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</si>
  <si>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</si>
  <si>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</si>
  <si>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</si>
  <si>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</si>
  <si>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</si>
  <si>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</si>
  <si>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</si>
  <si>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</si>
  <si>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</si>
  <si>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</si>
  <si>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</si>
  <si>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</si>
  <si>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</si>
  <si>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</si>
  <si>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</si>
  <si>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</si>
  <si>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</si>
  <si>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</si>
  <si>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</si>
  <si>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</si>
  <si>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</si>
  <si>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</si>
  <si>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</si>
  <si>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</si>
  <si>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</si>
  <si>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</si>
  <si>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</si>
  <si>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</si>
  <si>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</si>
  <si>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</si>
  <si>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</si>
  <si>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</si>
  <si>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</si>
  <si>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</si>
  <si>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</si>
  <si>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</si>
  <si>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</si>
  <si>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</si>
  <si>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</si>
  <si>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</si>
  <si>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</si>
  <si>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</si>
  <si>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</si>
  <si>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</si>
  <si>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</si>
  <si>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</si>
  <si>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</si>
  <si>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</si>
  <si>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</si>
  <si>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</si>
  <si>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</si>
  <si>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</si>
  <si>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</si>
  <si>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</si>
  <si>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</si>
  <si>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</si>
  <si>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</si>
  <si>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</si>
  <si>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</si>
  <si>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</si>
  <si>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</si>
  <si>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</si>
  <si>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</si>
  <si>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</si>
  <si>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</si>
  <si>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</si>
  <si>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</si>
  <si>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</si>
  <si>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</si>
  <si>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</si>
  <si>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</si>
  <si>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</si>
  <si>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</si>
  <si>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</si>
  <si>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</si>
  <si>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</si>
  <si>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</si>
  <si>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</si>
  <si>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</si>
  <si>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</si>
  <si>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</si>
  <si>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</si>
  <si>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</si>
  <si>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</si>
  <si>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</si>
  <si>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</si>
  <si>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</si>
  <si>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</si>
  <si>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</si>
  <si>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</si>
  <si>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</si>
  <si>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</si>
  <si>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</si>
  <si>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</si>
  <si>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</si>
  <si>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</si>
  <si>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</si>
  <si>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</si>
  <si>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</si>
  <si>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</si>
  <si>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</si>
  <si>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</si>
  <si>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</si>
  <si>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</si>
  <si>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</si>
  <si>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</si>
  <si>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</si>
  <si>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</si>
  <si>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</si>
  <si>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</si>
  <si>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</si>
  <si>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</si>
  <si>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</si>
  <si>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</si>
  <si>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</si>
  <si>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</si>
  <si>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</si>
  <si>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</si>
  <si>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</si>
  <si>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</si>
  <si>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</si>
  <si>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</si>
  <si>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</si>
  <si>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</si>
  <si>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</si>
  <si>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</si>
  <si>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</si>
  <si>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</si>
  <si>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</si>
  <si>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</si>
  <si>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</si>
  <si>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</si>
  <si>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</si>
  <si>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</si>
  <si>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</si>
  <si>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</si>
  <si>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</si>
  <si>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</si>
  <si>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</si>
  <si>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</si>
  <si>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</si>
  <si>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</si>
  <si>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</si>
  <si>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</si>
  <si>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</si>
  <si>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</si>
  <si>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</si>
  <si>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</si>
  <si>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</si>
  <si>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</si>
  <si>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</si>
  <si>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</si>
  <si>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</si>
  <si>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</si>
  <si>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</si>
  <si>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</si>
  <si>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</si>
  <si>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</si>
  <si>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</si>
  <si>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</si>
  <si>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</si>
  <si>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</si>
  <si>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</si>
  <si>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</si>
  <si>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</si>
  <si>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</si>
  <si>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</si>
  <si>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</si>
  <si>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</si>
  <si>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</si>
  <si>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</si>
  <si>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</si>
  <si>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</si>
  <si>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</si>
  <si>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</si>
  <si>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</si>
  <si>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</si>
  <si>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</si>
  <si>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</si>
  <si>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</si>
  <si>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</si>
  <si>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</si>
  <si>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</si>
  <si>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</si>
  <si>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</si>
  <si>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</si>
  <si>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</si>
  <si>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</si>
  <si>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</si>
  <si>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</si>
  <si>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</si>
  <si>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</si>
  <si>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</si>
  <si>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</si>
  <si>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</si>
  <si>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</si>
  <si>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</si>
  <si>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</si>
  <si>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</si>
  <si>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</si>
  <si>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</si>
  <si>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</si>
  <si>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</si>
  <si>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</si>
  <si>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</si>
  <si>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</si>
  <si>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</si>
  <si>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</si>
  <si>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</si>
  <si>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</si>
  <si>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</si>
  <si>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</si>
  <si>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</si>
  <si>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</si>
  <si>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</si>
  <si>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</si>
  <si>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</si>
  <si>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</si>
  <si>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</si>
  <si>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</si>
  <si>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</si>
  <si>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</si>
  <si>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</si>
  <si>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</si>
  <si>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</si>
  <si>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</si>
  <si>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</si>
  <si>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</si>
  <si>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</si>
  <si>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</si>
  <si>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</si>
  <si>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</si>
  <si>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</si>
  <si>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</si>
  <si>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</si>
  <si>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</si>
  <si>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</si>
  <si>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</si>
  <si>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</si>
  <si>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</si>
  <si>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</si>
  <si>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</si>
  <si>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</si>
  <si>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</si>
  <si>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</si>
  <si>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</si>
  <si>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</si>
  <si>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</si>
  <si>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</si>
  <si>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</si>
  <si>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</si>
  <si>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</si>
  <si>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</si>
  <si>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</si>
  <si>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</si>
  <si>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</si>
  <si>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</si>
  <si>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</si>
  <si>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</si>
  <si>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</si>
  <si>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</si>
  <si>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</si>
  <si>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</si>
  <si>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</si>
  <si>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</si>
  <si>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</si>
  <si>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</si>
  <si>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</si>
  <si>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</si>
  <si>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</si>
  <si>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</si>
  <si>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</si>
  <si>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</si>
  <si>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</si>
  <si>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</si>
  <si>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</si>
  <si>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</si>
  <si>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</si>
  <si>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</si>
  <si>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</si>
  <si>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</si>
  <si>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</si>
  <si>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</si>
  <si>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</si>
  <si>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</si>
  <si>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</si>
  <si>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</si>
  <si>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</si>
  <si>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</si>
  <si>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</si>
  <si>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</si>
  <si>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</si>
  <si>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</si>
  <si>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</si>
  <si>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</si>
  <si>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</si>
  <si>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</si>
  <si>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</si>
  <si>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</si>
  <si>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</si>
  <si>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</si>
  <si>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</si>
  <si>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</si>
  <si>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</si>
  <si>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</si>
  <si>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</si>
  <si>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</si>
  <si>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</si>
  <si>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</si>
  <si>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</si>
  <si>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</si>
  <si>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</si>
  <si>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</si>
  <si>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</si>
  <si>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</si>
  <si>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</si>
  <si>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</si>
  <si>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</si>
  <si>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</si>
  <si>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</si>
  <si>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</si>
  <si>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</si>
  <si>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</si>
  <si>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</si>
  <si>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</si>
  <si>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</si>
  <si>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</si>
  <si>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</si>
  <si>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</si>
  <si>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</si>
  <si>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</si>
  <si>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</si>
  <si>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</si>
  <si>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</si>
  <si>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</si>
  <si>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</si>
  <si>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</si>
  <si>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</si>
  <si>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</si>
  <si>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</si>
  <si>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</si>
  <si>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</si>
  <si>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</si>
  <si>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</si>
  <si>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</si>
  <si>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</si>
  <si>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</si>
  <si>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</si>
  <si>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</si>
  <si>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</si>
  <si>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</si>
  <si>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</si>
  <si>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</si>
  <si>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</si>
  <si>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</si>
  <si>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</si>
  <si>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</si>
  <si>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</si>
  <si>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</si>
  <si>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</si>
  <si>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</si>
  <si>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</si>
  <si>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</si>
  <si>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</si>
  <si>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</si>
  <si>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</si>
  <si>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</si>
  <si>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</si>
  <si>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</si>
  <si>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</si>
  <si>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</si>
  <si>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</si>
  <si>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</si>
  <si>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</si>
  <si>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</si>
  <si>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</si>
  <si>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</si>
  <si>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</si>
  <si>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</si>
  <si>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</si>
  <si>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</si>
  <si>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</si>
  <si>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</si>
  <si>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</si>
  <si>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</si>
  <si>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</si>
  <si>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</si>
  <si>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</si>
  <si>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</si>
  <si>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</si>
  <si>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</si>
  <si>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</si>
  <si>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</si>
  <si>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</si>
  <si>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</si>
  <si>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</si>
  <si>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</si>
  <si>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</si>
  <si>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</si>
  <si>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</si>
  <si>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</si>
  <si>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</si>
  <si>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</si>
  <si>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</si>
  <si>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</si>
  <si>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</si>
  <si>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</si>
  <si>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</si>
  <si>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</si>
  <si>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</si>
  <si>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</si>
  <si>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</si>
  <si>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</si>
  <si>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</si>
  <si>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</si>
  <si>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</si>
  <si>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</si>
  <si>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</si>
  <si>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</si>
  <si>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</si>
  <si>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</si>
  <si>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</si>
  <si>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</si>
  <si>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</si>
  <si>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</si>
  <si>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</si>
  <si>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</si>
  <si>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</si>
  <si>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</si>
  <si>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</si>
  <si>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</si>
  <si>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</si>
  <si>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</si>
  <si>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</si>
  <si>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</si>
  <si>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</si>
  <si>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</si>
  <si>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</si>
  <si>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</si>
  <si>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</si>
  <si>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</si>
  <si>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</si>
  <si>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</si>
  <si>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</si>
  <si>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</si>
  <si>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</si>
  <si>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</si>
  <si>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</si>
  <si>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</si>
  <si>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</si>
  <si>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</si>
  <si>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</si>
  <si>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</si>
  <si>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</si>
  <si>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</si>
  <si>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</si>
  <si>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</si>
  <si>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</si>
  <si>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</si>
  <si>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</si>
  <si>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</si>
  <si>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</si>
  <si>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</si>
  <si>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</si>
  <si>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</si>
  <si>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</si>
  <si>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</si>
  <si>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</si>
  <si>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</si>
  <si>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</si>
  <si>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</si>
  <si>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</si>
  <si>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</si>
  <si>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</si>
  <si>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</si>
  <si>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</si>
  <si>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</si>
  <si>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</si>
  <si>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</si>
  <si>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</si>
  <si>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</si>
  <si>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</si>
  <si>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</si>
  <si>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</si>
  <si>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</si>
  <si>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</si>
  <si>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</si>
  <si>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</si>
  <si>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</si>
  <si>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</si>
  <si>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</si>
  <si>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</si>
  <si>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</si>
  <si>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</si>
  <si>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</si>
  <si>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</si>
  <si>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</si>
  <si>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</si>
  <si>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</si>
  <si>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</si>
  <si>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</si>
  <si>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</si>
  <si>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</si>
  <si>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</si>
  <si>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</si>
  <si>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</si>
  <si>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</si>
  <si>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</si>
  <si>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</si>
  <si>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</si>
  <si>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</si>
  <si>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</si>
  <si>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</si>
  <si>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</si>
  <si>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</si>
  <si>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</si>
  <si>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</si>
  <si>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</si>
  <si>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</si>
  <si>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</si>
  <si>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</si>
  <si>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</si>
  <si>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</si>
  <si>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</si>
  <si>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</si>
  <si>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</si>
  <si>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</si>
  <si>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</si>
  <si>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</si>
  <si>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</si>
  <si>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</si>
  <si>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</si>
  <si>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</si>
  <si>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</si>
  <si>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</si>
  <si>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</si>
  <si>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</si>
  <si>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</si>
  <si>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</si>
  <si>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</si>
  <si>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</si>
  <si>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</si>
  <si>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</si>
  <si>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</si>
  <si>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</si>
  <si>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</si>
  <si>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</si>
  <si>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</si>
  <si>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</si>
  <si>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</si>
  <si>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</si>
  <si>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</si>
  <si>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</si>
  <si>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</si>
  <si>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</si>
  <si>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</si>
  <si>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</si>
  <si>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</si>
  <si>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</si>
  <si>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</si>
  <si>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</si>
  <si>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</si>
  <si>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</si>
  <si>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</si>
  <si>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</si>
  <si>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</si>
  <si>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</si>
  <si>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</si>
  <si>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</si>
  <si>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</si>
  <si>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</si>
  <si>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</si>
  <si>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</si>
  <si>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</si>
  <si>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</si>
  <si>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</si>
  <si>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</si>
  <si>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</si>
  <si>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</si>
  <si>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</si>
  <si>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</si>
  <si>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</si>
  <si>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</si>
  <si>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</si>
  <si>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</si>
  <si>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</si>
  <si>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</si>
  <si>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</si>
  <si>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</si>
  <si>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</si>
  <si>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</si>
  <si>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</si>
  <si>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</si>
  <si>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</si>
  <si>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</si>
  <si>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</si>
  <si>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</si>
  <si>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</si>
  <si>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</si>
  <si>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</si>
  <si>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</si>
  <si>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</si>
  <si>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</si>
  <si>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</si>
  <si>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</si>
  <si>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</si>
  <si>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</si>
  <si>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</si>
  <si>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</si>
  <si>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</si>
  <si>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</si>
  <si>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</si>
  <si>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</si>
  <si>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</si>
  <si>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</si>
  <si>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</si>
  <si>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</si>
  <si>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</si>
  <si>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</si>
  <si>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</si>
  <si>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</si>
  <si>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</si>
  <si>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</si>
  <si>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</si>
  <si>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</si>
  <si>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</si>
  <si>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</si>
  <si>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</si>
  <si>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</si>
  <si>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</si>
  <si>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</si>
  <si>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</si>
  <si>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</si>
  <si>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</si>
  <si>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</si>
  <si>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</si>
  <si>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</si>
  <si>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</si>
  <si>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</si>
  <si>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</si>
  <si>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</si>
  <si>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</si>
  <si>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</si>
  <si>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</si>
  <si>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</si>
  <si>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</si>
  <si>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</si>
  <si>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</si>
  <si>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</si>
  <si>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</si>
  <si>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</si>
  <si>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</si>
  <si>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</si>
  <si>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</si>
  <si>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</si>
  <si>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طلب از رضا 28/4/1402</t>
  </si>
  <si>
    <t>2/5/1402</t>
  </si>
  <si>
    <t>شارژ موبایل و بلیط اتوبوس مالیات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</si>
</sst>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21347646810</c:v>
                </c:pt>
                <c:pt idx="1">
                  <c:v>8272.6744186046508</c:v>
                </c:pt>
                <c:pt idx="2">
                  <c:v>256020000</c:v>
                </c:pt>
                <c:pt idx="3">
                  <c:v>107931636</c:v>
                </c:pt>
                <c:pt idx="4">
                  <c:v>54595000</c:v>
                </c:pt>
                <c:pt idx="5">
                  <c:v>573804000</c:v>
                </c:pt>
                <c:pt idx="6">
                  <c:v>6020000</c:v>
                </c:pt>
                <c:pt idx="7">
                  <c:v>11072313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3" zoomScale="85" zoomScaleNormal="85" workbookViewId="0">
      <selection activeCell="I40" sqref="I4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1.0647417520011852E-3</v>
      </c>
      <c r="F1" s="11"/>
      <c r="G1" s="279" t="s">
        <v>4406</v>
      </c>
      <c r="H1" s="1">
        <f>SUM(B26:B40)</f>
        <v>12367154662.674419</v>
      </c>
      <c r="J1" s="207" t="s">
        <v>4315</v>
      </c>
      <c r="K1" s="207" t="s">
        <v>4326</v>
      </c>
      <c r="L1" s="207" t="s">
        <v>4327</v>
      </c>
      <c r="M1" s="357" t="s">
        <v>25</v>
      </c>
      <c r="N1" s="357" t="s">
        <v>25</v>
      </c>
      <c r="V1" t="s">
        <v>25</v>
      </c>
      <c r="Z1" t="s">
        <v>25</v>
      </c>
      <c r="AA1" t="s">
        <v>25</v>
      </c>
    </row>
    <row r="2" spans="1:27">
      <c r="A2" s="364" t="s">
        <v>6664</v>
      </c>
      <c r="B2" s="367">
        <f>C2*D2</f>
        <v>520841580</v>
      </c>
      <c r="C2" s="374">
        <v>291788</v>
      </c>
      <c r="D2" s="364">
        <f>D26</f>
        <v>1785</v>
      </c>
      <c r="E2" s="364">
        <f>B2*100/$C$43</f>
        <v>2.259155900666328</v>
      </c>
      <c r="F2" s="11"/>
      <c r="G2" s="357" t="s">
        <v>4318</v>
      </c>
      <c r="H2" s="1">
        <f>SUM(B20:B23)</f>
        <v>7708115010</v>
      </c>
      <c r="I2">
        <f t="shared" ref="I2:I7" si="0">K2-$K$10</f>
        <v>1479980</v>
      </c>
      <c r="J2" s="207" t="s">
        <v>690</v>
      </c>
      <c r="K2" s="207">
        <v>1479980</v>
      </c>
      <c r="L2" s="276">
        <f t="shared" ref="L2:L7" si="1">K2*$O$516</f>
        <v>7198219397.1607456</v>
      </c>
      <c r="M2" s="357">
        <f t="shared" ref="M2:M7" si="2">L2*100/$L$10</f>
        <v>32.20522140736108</v>
      </c>
      <c r="N2" s="1">
        <f t="shared" ref="N2:N7" si="3">M2*0.01*$N$10</f>
        <v>345399767.74422872</v>
      </c>
    </row>
    <row r="3" spans="1:27">
      <c r="A3" s="364" t="s">
        <v>6665</v>
      </c>
      <c r="B3" s="367">
        <f>C3*D3</f>
        <v>0</v>
      </c>
      <c r="C3" s="374">
        <v>0</v>
      </c>
      <c r="D3" s="364">
        <f>D27</f>
        <v>827.26744186046506</v>
      </c>
      <c r="E3" s="364">
        <f>B3*100/$C$43</f>
        <v>0</v>
      </c>
      <c r="F3" s="11"/>
      <c r="G3" s="357" t="s">
        <v>4319</v>
      </c>
      <c r="H3" s="1">
        <f>SUM(B14:B17)</f>
        <v>907104870</v>
      </c>
      <c r="I3">
        <f t="shared" si="0"/>
        <v>2572827</v>
      </c>
      <c r="J3" s="207" t="s">
        <v>4317</v>
      </c>
      <c r="K3" s="207">
        <v>2572827</v>
      </c>
      <c r="L3" s="276">
        <f t="shared" si="1"/>
        <v>12513529383.463892</v>
      </c>
      <c r="M3" s="357">
        <f t="shared" si="2"/>
        <v>55.986204663466118</v>
      </c>
      <c r="N3" s="1">
        <f t="shared" si="3"/>
        <v>600449903.54334581</v>
      </c>
    </row>
    <row r="4" spans="1:27">
      <c r="A4" s="364" t="s">
        <v>6923</v>
      </c>
      <c r="B4" s="367">
        <f>C4*D4</f>
        <v>0</v>
      </c>
      <c r="C4" s="323">
        <v>0</v>
      </c>
      <c r="D4" s="364">
        <f>D33</f>
        <v>120.4</v>
      </c>
      <c r="E4" s="364">
        <f>B4*100/$C$43</f>
        <v>0</v>
      </c>
      <c r="F4" s="11"/>
      <c r="G4" s="357" t="s">
        <v>6837</v>
      </c>
      <c r="H4" s="1">
        <f>SUM(B7:B11)</f>
        <v>1569609996</v>
      </c>
      <c r="I4">
        <f t="shared" si="0"/>
        <v>41446</v>
      </c>
      <c r="J4" s="207" t="s">
        <v>4316</v>
      </c>
      <c r="K4" s="207">
        <v>41446</v>
      </c>
      <c r="L4" s="276">
        <f t="shared" si="1"/>
        <v>201582049.17277551</v>
      </c>
      <c r="M4" s="357">
        <f t="shared" si="2"/>
        <v>0.90188894880301573</v>
      </c>
      <c r="N4" s="1">
        <f t="shared" si="3"/>
        <v>9672724.4786600526</v>
      </c>
    </row>
    <row r="5" spans="1:27">
      <c r="E5" s="535"/>
      <c r="F5" t="s">
        <v>25</v>
      </c>
      <c r="G5" s="357" t="s">
        <v>6838</v>
      </c>
      <c r="H5" s="1">
        <f>SUM(B2:B4)</f>
        <v>520841580</v>
      </c>
      <c r="I5">
        <f t="shared" si="0"/>
        <v>120081</v>
      </c>
      <c r="J5" s="207" t="s">
        <v>1005</v>
      </c>
      <c r="K5" s="207">
        <v>120081</v>
      </c>
      <c r="L5" s="276">
        <f t="shared" si="1"/>
        <v>584041259.63219738</v>
      </c>
      <c r="M5" s="357">
        <f t="shared" si="2"/>
        <v>2.6130320624720103</v>
      </c>
      <c r="N5" s="1">
        <f t="shared" si="3"/>
        <v>28024668.92153592</v>
      </c>
      <c r="T5" t="s">
        <v>25</v>
      </c>
      <c r="U5" t="s">
        <v>25</v>
      </c>
    </row>
    <row r="6" spans="1:27">
      <c r="A6" s="362" t="s">
        <v>6592</v>
      </c>
      <c r="B6" s="471">
        <v>749</v>
      </c>
      <c r="C6" s="375"/>
      <c r="D6" s="471"/>
      <c r="E6" s="364">
        <f t="shared" ref="E6:E11" si="4">B6*100/$C$43</f>
        <v>3.2487954775021602E-6</v>
      </c>
      <c r="F6" s="11"/>
      <c r="G6" s="357" t="s">
        <v>4320</v>
      </c>
      <c r="H6" s="1">
        <f>B25</f>
        <v>10727410</v>
      </c>
      <c r="I6" s="381">
        <f t="shared" si="0"/>
        <v>287123</v>
      </c>
      <c r="J6" s="207" t="s">
        <v>5281</v>
      </c>
      <c r="K6" s="207">
        <v>287123</v>
      </c>
      <c r="L6" s="276">
        <f t="shared" si="1"/>
        <v>1396488025.4942532</v>
      </c>
      <c r="M6" s="389">
        <f t="shared" si="2"/>
        <v>6.2479626658101699</v>
      </c>
      <c r="N6" s="1">
        <f t="shared" si="3"/>
        <v>67009160.606242105</v>
      </c>
    </row>
    <row r="7" spans="1:27">
      <c r="A7" s="362" t="s">
        <v>6593</v>
      </c>
      <c r="B7" s="471">
        <f t="shared" ref="B7:B10" si="5">C7*D7</f>
        <v>1460658360</v>
      </c>
      <c r="C7" s="375">
        <v>818296</v>
      </c>
      <c r="D7" s="362">
        <f>D26</f>
        <v>1785</v>
      </c>
      <c r="E7" s="364">
        <f t="shared" si="4"/>
        <v>6.3356211937833411</v>
      </c>
      <c r="F7" s="11"/>
      <c r="G7" s="357" t="s">
        <v>4321</v>
      </c>
      <c r="H7" s="1">
        <f>B19</f>
        <v>1253</v>
      </c>
      <c r="I7" s="381">
        <f t="shared" si="0"/>
        <v>94009</v>
      </c>
      <c r="J7" s="207" t="s">
        <v>6836</v>
      </c>
      <c r="K7" s="207">
        <v>94009</v>
      </c>
      <c r="L7" s="276">
        <f t="shared" si="1"/>
        <v>457234156.75055379</v>
      </c>
      <c r="M7" s="389">
        <f t="shared" si="2"/>
        <v>2.045690252087601</v>
      </c>
      <c r="N7" s="1">
        <f t="shared" si="3"/>
        <v>21939949.705987379</v>
      </c>
      <c r="T7" t="s">
        <v>25</v>
      </c>
    </row>
    <row r="8" spans="1:27">
      <c r="A8" s="362" t="s">
        <v>6594</v>
      </c>
      <c r="B8" s="471">
        <f t="shared" si="5"/>
        <v>0</v>
      </c>
      <c r="C8" s="375">
        <v>0</v>
      </c>
      <c r="D8" s="362">
        <f>D27</f>
        <v>827.26744186046506</v>
      </c>
      <c r="E8" s="364">
        <f t="shared" si="4"/>
        <v>0</v>
      </c>
      <c r="F8" s="11"/>
      <c r="G8" s="357" t="s">
        <v>4322</v>
      </c>
      <c r="H8" s="1">
        <f>B13</f>
        <v>97428</v>
      </c>
      <c r="I8" t="s">
        <v>25</v>
      </c>
      <c r="J8" s="207"/>
      <c r="K8" s="207"/>
      <c r="L8" s="207"/>
      <c r="M8" s="357"/>
      <c r="N8" s="357" t="s">
        <v>25</v>
      </c>
      <c r="U8" t="s">
        <v>25</v>
      </c>
    </row>
    <row r="9" spans="1:27">
      <c r="A9" s="362" t="s">
        <v>7040</v>
      </c>
      <c r="B9" s="471">
        <f t="shared" si="5"/>
        <v>1020000</v>
      </c>
      <c r="C9" s="375">
        <v>2000</v>
      </c>
      <c r="D9" s="362">
        <f>'خرید و فروش نسبتی'!O24</f>
        <v>510</v>
      </c>
      <c r="E9" s="364">
        <f t="shared" si="4"/>
        <v>4.4242608638881218E-3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0.4681546207159003</v>
      </c>
      <c r="F10" s="354"/>
      <c r="G10" s="357" t="s">
        <v>6840</v>
      </c>
      <c r="H10" s="1">
        <f>B1</f>
        <v>245473</v>
      </c>
      <c r="I10" t="s">
        <v>25</v>
      </c>
      <c r="J10" s="207"/>
      <c r="K10" s="207">
        <f>K9-P513</f>
        <v>0</v>
      </c>
      <c r="L10" s="276">
        <f>SUM(L2:L7)</f>
        <v>22351094271.674419</v>
      </c>
      <c r="M10" s="357" t="s">
        <v>25</v>
      </c>
      <c r="N10" s="1">
        <v>1072496175</v>
      </c>
    </row>
    <row r="11" spans="1:27" ht="18" customHeight="1">
      <c r="A11" s="341" t="s">
        <v>6924</v>
      </c>
      <c r="B11" s="471">
        <f>C11*D11</f>
        <v>0</v>
      </c>
      <c r="C11" s="375">
        <v>0</v>
      </c>
      <c r="D11" s="362">
        <f>D33</f>
        <v>120.4</v>
      </c>
      <c r="E11" s="364">
        <f t="shared" si="4"/>
        <v>0</v>
      </c>
      <c r="F11" s="354"/>
      <c r="G11" s="357" t="s">
        <v>7031</v>
      </c>
      <c r="H11" s="1">
        <f>-F41</f>
        <v>-29200000</v>
      </c>
      <c r="I11" t="s">
        <v>25</v>
      </c>
      <c r="J11" s="207"/>
      <c r="K11" s="207" t="s">
        <v>5607</v>
      </c>
      <c r="L11" s="276">
        <f>H3+H8-L5</f>
        <v>323161038.36780262</v>
      </c>
      <c r="M11" s="357">
        <f>L11/L4</f>
        <v>1.6031240861671272</v>
      </c>
      <c r="N11" s="357" t="s">
        <v>25</v>
      </c>
      <c r="P11" t="s">
        <v>25</v>
      </c>
    </row>
    <row r="12" spans="1:27">
      <c r="A12" s="354"/>
      <c r="B12" s="355"/>
      <c r="C12" s="373"/>
      <c r="D12" s="354"/>
      <c r="E12" s="535"/>
      <c r="F12" s="205"/>
      <c r="G12" s="357" t="s">
        <v>4922</v>
      </c>
      <c r="H12" s="1">
        <v>0</v>
      </c>
      <c r="I12" t="s">
        <v>25</v>
      </c>
      <c r="J12" s="207"/>
      <c r="K12" s="207" t="s">
        <v>5606</v>
      </c>
      <c r="L12" s="276">
        <f>L4-L11</f>
        <v>-121578989.19502711</v>
      </c>
      <c r="M12" s="357">
        <f>L12/L4</f>
        <v>-0.60312408616712709</v>
      </c>
      <c r="N12" s="357"/>
      <c r="U12" t="s">
        <v>25</v>
      </c>
    </row>
    <row r="13" spans="1:27">
      <c r="A13" s="361" t="s">
        <v>4323</v>
      </c>
      <c r="B13" s="360">
        <v>97428</v>
      </c>
      <c r="C13" s="377"/>
      <c r="D13" s="361"/>
      <c r="E13" s="364">
        <f>B13*100/$C$43</f>
        <v>4.2259498769303135E-4</v>
      </c>
      <c r="F13" s="205"/>
      <c r="G13" s="357" t="s">
        <v>6773</v>
      </c>
      <c r="H13" s="1">
        <f>0</f>
        <v>0</v>
      </c>
      <c r="J13" s="207"/>
      <c r="K13" s="207" t="s">
        <v>6874</v>
      </c>
      <c r="L13" s="276">
        <f>H2+H7-L2-L12</f>
        <v>631475855.03428149</v>
      </c>
      <c r="M13" s="357">
        <f t="shared" ref="M13:M15" si="6">L13/L5</f>
        <v>1.0812178842158451</v>
      </c>
      <c r="N13" s="357" t="s">
        <v>25</v>
      </c>
      <c r="T13" s="35"/>
    </row>
    <row r="14" spans="1:27" ht="34.5" customHeight="1">
      <c r="A14" s="361" t="s">
        <v>4306</v>
      </c>
      <c r="B14" s="360">
        <f>C14*D14</f>
        <v>907104870</v>
      </c>
      <c r="C14" s="377">
        <v>508182</v>
      </c>
      <c r="D14" s="361">
        <f>D26</f>
        <v>1785</v>
      </c>
      <c r="E14" s="364">
        <f>B14*100/$C$43</f>
        <v>3.9345770350816891</v>
      </c>
      <c r="F14" s="205"/>
      <c r="G14" s="279" t="s">
        <v>7010</v>
      </c>
      <c r="H14" s="1">
        <f>-373268*D26</f>
        <v>-666283380</v>
      </c>
      <c r="J14" s="207"/>
      <c r="K14" s="207" t="s">
        <v>6873</v>
      </c>
      <c r="L14" s="276">
        <f>H4+H9-L6</f>
        <v>173122719.50574684</v>
      </c>
      <c r="M14" s="357">
        <f t="shared" si="6"/>
        <v>0.12397007088154174</v>
      </c>
      <c r="N14" s="11" t="s">
        <v>25</v>
      </c>
      <c r="T14" s="35"/>
    </row>
    <row r="15" spans="1:27">
      <c r="A15" s="361" t="s">
        <v>5139</v>
      </c>
      <c r="B15" s="360">
        <f>C15*D15</f>
        <v>0</v>
      </c>
      <c r="C15" s="377">
        <v>0</v>
      </c>
      <c r="D15" s="361">
        <f>D27</f>
        <v>827.26744186046506</v>
      </c>
      <c r="E15" s="364">
        <f>B15*100/$C$43</f>
        <v>0</v>
      </c>
      <c r="F15" s="205" t="s">
        <v>25</v>
      </c>
      <c r="G15" s="357" t="s">
        <v>6854</v>
      </c>
      <c r="H15" s="1">
        <f>-20908*D26</f>
        <v>-37320780</v>
      </c>
      <c r="J15" s="207"/>
      <c r="K15" s="207" t="s">
        <v>6875</v>
      </c>
      <c r="L15" s="276">
        <f>H5+H10-L7</f>
        <v>63852896.249446213</v>
      </c>
      <c r="M15" s="357">
        <f t="shared" si="6"/>
        <v>0.13965031987818324</v>
      </c>
      <c r="N15" s="11" t="s">
        <v>25</v>
      </c>
      <c r="T15" s="76"/>
    </row>
    <row r="16" spans="1:27">
      <c r="A16" s="361" t="s">
        <v>5594</v>
      </c>
      <c r="B16" s="360">
        <f>C16*D16</f>
        <v>0</v>
      </c>
      <c r="C16" s="377">
        <v>0</v>
      </c>
      <c r="D16" s="361">
        <f>D33</f>
        <v>120.4</v>
      </c>
      <c r="E16" s="364">
        <f>B16*100/$C$43</f>
        <v>0</v>
      </c>
      <c r="F16" s="205"/>
      <c r="G16" s="357"/>
      <c r="H16" s="1"/>
      <c r="K16" s="475"/>
      <c r="L16" s="475"/>
      <c r="S16" s="76"/>
      <c r="T16" s="76"/>
      <c r="U16" t="s">
        <v>25</v>
      </c>
    </row>
    <row r="17" spans="1:47">
      <c r="A17" s="361" t="s">
        <v>4542</v>
      </c>
      <c r="B17" s="360">
        <f>C17*D17</f>
        <v>0</v>
      </c>
      <c r="C17" s="377">
        <v>0</v>
      </c>
      <c r="D17" s="361">
        <f>D28</f>
        <v>510</v>
      </c>
      <c r="E17" s="364">
        <f>B17*100/$C$43</f>
        <v>0</v>
      </c>
      <c r="F17" s="205"/>
      <c r="G17" s="357" t="s">
        <v>4324</v>
      </c>
      <c r="H17" s="1">
        <f>SUM(H1:H16)</f>
        <v>22351094271.674419</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1253</v>
      </c>
      <c r="C19" s="376" t="s">
        <v>857</v>
      </c>
      <c r="D19" s="365" t="s">
        <v>3843</v>
      </c>
      <c r="E19" s="364">
        <f>B19*100/$C$43</f>
        <v>5.4349008455409972E-6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7504115010</v>
      </c>
      <c r="C20" s="376">
        <v>4203986</v>
      </c>
      <c r="D20" s="365">
        <f>D26</f>
        <v>1785</v>
      </c>
      <c r="E20" s="364">
        <f>B20*100/$C$43</f>
        <v>32.549178781233749</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827.26744186046506</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120.4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204000000</v>
      </c>
      <c r="C23" s="376">
        <v>400000</v>
      </c>
      <c r="D23" s="365">
        <f>D28</f>
        <v>510</v>
      </c>
      <c r="E23" s="364">
        <f>B23*100/$C$43</f>
        <v>0.8848521727776244</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10727410</v>
      </c>
      <c r="C25" s="359"/>
      <c r="D25" s="363" t="s">
        <v>25</v>
      </c>
      <c r="E25" s="364">
        <f t="shared" ref="E25:E36" si="11">B25*100/$C$43</f>
        <v>4.6530255131256942E-2</v>
      </c>
      <c r="F25" s="205"/>
      <c r="G25" s="2" t="s">
        <v>4328</v>
      </c>
      <c r="H25" s="37">
        <f>-L13</f>
        <v>-631475855.03428149</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10954926990</v>
      </c>
      <c r="C26" s="378">
        <v>6137214</v>
      </c>
      <c r="D26" s="363">
        <f>'خرید و فروش نسبتی'!O22</f>
        <v>1785</v>
      </c>
      <c r="E26" s="364">
        <f t="shared" si="11"/>
        <v>47.517112498635989</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8272.6744186046508</v>
      </c>
      <c r="C27" s="378">
        <v>10</v>
      </c>
      <c r="D27" s="363">
        <f>'خرید و فروش نسبتی'!O23</f>
        <v>827.26744186046506</v>
      </c>
      <c r="E27" s="364">
        <f t="shared" si="11"/>
        <v>3.5882813401883317E-5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51000000</v>
      </c>
      <c r="C28" s="378">
        <v>100000</v>
      </c>
      <c r="D28" s="363">
        <f>'خرید و فروش نسبتی'!O24</f>
        <v>510</v>
      </c>
      <c r="E28" s="364">
        <f t="shared" si="11"/>
        <v>0.2212130431944061</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9660000</v>
      </c>
      <c r="C30" s="378">
        <v>5000</v>
      </c>
      <c r="D30" s="363">
        <f>'خرید و فروش نسبتی'!O18</f>
        <v>1932</v>
      </c>
      <c r="E30" s="364">
        <f t="shared" si="11"/>
        <v>4.1900352887411035E-2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564144000</v>
      </c>
      <c r="C31" s="378">
        <v>292000</v>
      </c>
      <c r="D31" s="363">
        <f>IF(D30&gt;2800,2800,D30)</f>
        <v>1932</v>
      </c>
      <c r="E31" s="364">
        <f t="shared" si="11"/>
        <v>2.4469806086248047</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1932</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6020000</v>
      </c>
      <c r="C33" s="378">
        <v>50000</v>
      </c>
      <c r="D33" s="363">
        <f>'خرید و فروش نسبتی'!O20</f>
        <v>120.4</v>
      </c>
      <c r="E33" s="364">
        <f t="shared" si="11"/>
        <v>2.611181411824166E-2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7043</v>
      </c>
      <c r="B34" s="359">
        <f t="shared" si="12"/>
        <v>274790400</v>
      </c>
      <c r="C34" s="378">
        <v>7156000</v>
      </c>
      <c r="D34" s="363">
        <f>'خرید و فروش نسبتی'!O14</f>
        <v>38.4</v>
      </c>
      <c r="E34" s="364">
        <f t="shared" si="11"/>
        <v>1.1919062867570223</v>
      </c>
      <c r="F34" s="486"/>
      <c r="G34" s="2"/>
      <c r="H34" s="37"/>
      <c r="I34" s="368" t="s">
        <v>25</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305</v>
      </c>
      <c r="E35" s="364">
        <f t="shared" si="11"/>
        <v>0</v>
      </c>
      <c r="F35" s="486"/>
      <c r="G35" s="2"/>
      <c r="H35" s="37"/>
      <c r="I35" s="368"/>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7045</v>
      </c>
      <c r="B36" s="359">
        <f t="shared" si="12"/>
        <v>54595000</v>
      </c>
      <c r="C36" s="378">
        <v>179000</v>
      </c>
      <c r="D36" s="363">
        <f>IF(D35&gt;450,450,D35)</f>
        <v>305</v>
      </c>
      <c r="E36" s="364">
        <f t="shared" si="11"/>
        <v>0.2368063939842863</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7046</v>
      </c>
      <c r="B37" s="359">
        <f t="shared" si="12"/>
        <v>452010000</v>
      </c>
      <c r="C37" s="378">
        <v>1482000</v>
      </c>
      <c r="D37" s="363">
        <f>IF(D35&gt;550,550,D35)</f>
        <v>305</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50000</v>
      </c>
      <c r="E39" s="364">
        <f>B39*100/$C$43</f>
        <v>0</v>
      </c>
      <c r="F39" s="486" t="s">
        <v>25</v>
      </c>
      <c r="G39" s="48" t="s">
        <v>7047</v>
      </c>
      <c r="H39" s="37">
        <f>109000+346400+1939117</f>
        <v>2394517</v>
      </c>
      <c r="I39" s="368" t="s">
        <v>7049</v>
      </c>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23054698431.674419</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c r="H44" s="37"/>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461093.9686334884</v>
      </c>
      <c r="D45" s="373">
        <f>C43/D28</f>
        <v>45205291.042498864</v>
      </c>
      <c r="E45" s="373">
        <f>C43/D26</f>
        <v>12915797.440713961</v>
      </c>
      <c r="F45" s="373">
        <f>C43/D27</f>
        <v>27868494.836235859</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500000</v>
      </c>
      <c r="E46" s="373">
        <f>C2+C7+C20+C26+C14</f>
        <v>11959466</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1.1060652159720305E-2</v>
      </c>
      <c r="E47" s="474">
        <f>E46/E45</f>
        <v>0.92595645409401095</v>
      </c>
      <c r="F47" s="474">
        <f>F46/F45</f>
        <v>3.5882813401883314E-7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4068476193.8248978</v>
      </c>
      <c r="E48" s="373">
        <f>E45*E43</f>
        <v>4326792142.6391764</v>
      </c>
      <c r="F48" s="373">
        <f>F45*F43</f>
        <v>2229479586.8988686</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40000000</v>
      </c>
      <c r="E49" s="373">
        <f>E46*E43</f>
        <v>4006421110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255000000</v>
      </c>
      <c r="E50" s="373">
        <f>E46*D26</f>
        <v>21347646810</v>
      </c>
      <c r="F50" s="373">
        <f>F46*D27</f>
        <v>8272.6744186046508</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19366146870</v>
      </c>
      <c r="K55" s="473">
        <f>I55-J55</f>
        <v>3227853130</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8272.6744186046508</v>
      </c>
      <c r="K56" s="59">
        <f>I56-J56</f>
        <v>7264391727.3255816</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10826091</v>
      </c>
      <c r="K58" s="157">
        <f>I58-J58</f>
        <v>-10826091</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11959466</v>
      </c>
      <c r="C132" s="493">
        <f>B132*D26</f>
        <v>21347646810</v>
      </c>
      <c r="D132" s="536">
        <f t="shared" ref="D132:D139" si="22">C132/$C$141</f>
        <v>0.95484873661848779</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8272.6744186046508</v>
      </c>
      <c r="D133" s="536">
        <f t="shared" si="22"/>
        <v>3.7002451780120741E-7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502000</v>
      </c>
      <c r="C134" s="493">
        <f>B134*D28</f>
        <v>256020000</v>
      </c>
      <c r="D134" s="536">
        <f t="shared" si="22"/>
        <v>1.1451396761658586E-2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4.8276227910745775E-3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54595000</v>
      </c>
      <c r="D136" s="536">
        <f t="shared" si="22"/>
        <v>2.4419537778406003E-3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573804000</v>
      </c>
      <c r="D137" s="536">
        <f t="shared" si="22"/>
        <v>2.5665406091034855E-2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6020000</v>
      </c>
      <c r="D138" s="536">
        <f t="shared" si="22"/>
        <v>2.6926571558934725E-4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11072313</v>
      </c>
      <c r="C139" s="514">
        <f>B139</f>
        <v>11072313</v>
      </c>
      <c r="D139" s="536">
        <f t="shared" si="22"/>
        <v>4.9524821979638411E-4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22357098031.674419</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12377882072.674419</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12499970931.612856</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12195712492.51408</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7708116263</v>
      </c>
    </row>
    <row r="516" spans="13:42">
      <c r="O516" s="143">
        <f>H17/P513</f>
        <v>4863.7274808853808</v>
      </c>
      <c r="P516" s="35"/>
      <c r="Q516" s="35"/>
      <c r="R516" s="35"/>
      <c r="S516" s="35" t="s">
        <v>25</v>
      </c>
      <c r="T516" t="s">
        <v>25</v>
      </c>
      <c r="AB516" t="s">
        <v>25</v>
      </c>
      <c r="AK516" t="s">
        <v>4037</v>
      </c>
      <c r="AL516" s="7">
        <f>AL515-AL511</f>
        <v>7648104326.8358192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7543746594.6303453</v>
      </c>
      <c r="AO518" t="s">
        <v>25</v>
      </c>
      <c r="AP518" t="s">
        <v>25</v>
      </c>
    </row>
    <row r="519" spans="13:42">
      <c r="O519" s="76"/>
      <c r="P519" s="1">
        <v>6000000</v>
      </c>
      <c r="Q519" s="35">
        <f>P519/O516</f>
        <v>1233.6217486650332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22351094271.674419</v>
      </c>
      <c r="Q529" s="26">
        <f>P529-O529</f>
        <v>20248714598.97438</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opLeftCell="A16" zoomScale="85" zoomScaleNormal="85" workbookViewId="0">
      <selection activeCell="L40" sqref="L40"/>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104457</v>
      </c>
      <c r="E1" s="438" t="s">
        <v>4542</v>
      </c>
      <c r="F1" s="439">
        <v>530</v>
      </c>
      <c r="G1" s="498">
        <f>C1*D1*0.9912/(F1*1.003631981)</f>
        <v>400000.2907177037</v>
      </c>
      <c r="H1" s="440">
        <f>C1/F1</f>
        <v>3.8773584905660377</v>
      </c>
      <c r="I1" s="440">
        <f>$O$22/$O$24</f>
        <v>3.5</v>
      </c>
      <c r="J1" s="440">
        <f t="shared" ref="J1" si="0">I1/H1</f>
        <v>0.902676399026764</v>
      </c>
      <c r="K1" s="438">
        <f t="shared" ref="K1" si="1">(1/J1-1.0256)*100</f>
        <v>8.221671159029631</v>
      </c>
      <c r="L1" s="512"/>
      <c r="M1" s="554"/>
      <c r="O1" s="561" t="s">
        <v>7033</v>
      </c>
      <c r="P1">
        <v>70</v>
      </c>
    </row>
    <row r="2" spans="1:25" ht="18.75">
      <c r="A2" s="229" t="s">
        <v>7039</v>
      </c>
      <c r="B2" s="225" t="s">
        <v>4134</v>
      </c>
      <c r="C2" s="224">
        <v>2093.3000000000002</v>
      </c>
      <c r="D2" s="302">
        <v>26100</v>
      </c>
      <c r="E2" s="438" t="s">
        <v>4542</v>
      </c>
      <c r="F2" s="439">
        <v>529</v>
      </c>
      <c r="G2" s="498">
        <f>C2*D2*0.9912/(F2*1.003631981)</f>
        <v>102000.69016856098</v>
      </c>
      <c r="H2" s="440">
        <f>C2/F2</f>
        <v>3.9570888468809078</v>
      </c>
      <c r="I2" s="440">
        <f>$O$22/$O$24</f>
        <v>3.5</v>
      </c>
      <c r="J2" s="440">
        <f t="shared" ref="J2" si="2">I2/H2</f>
        <v>0.88448860650647299</v>
      </c>
      <c r="K2" s="438">
        <f t="shared" ref="K2" si="3">(1/J2-1.0256)*100</f>
        <v>10.499681339454492</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0.46345514950166111</v>
      </c>
      <c r="J7" s="520">
        <f t="shared" ref="J7" si="7">I7/H7</f>
        <v>1.201009246186524</v>
      </c>
      <c r="K7" s="576">
        <f t="shared" ref="K7" si="8">(1/J7-1.0256)*100</f>
        <v>-19.296694311452967</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0.46345514950166111</v>
      </c>
      <c r="J8" s="520">
        <f t="shared" ref="J8" si="9">I8/H8</f>
        <v>1.201009246186524</v>
      </c>
      <c r="K8" s="576">
        <f t="shared" ref="K8" si="10">(1/J8-1.0256)*100</f>
        <v>-19.296694311452967</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0.46345514950166111</v>
      </c>
      <c r="J9" s="520">
        <f t="shared" ref="J9" si="11">I9/H9</f>
        <v>1.2280388157618067</v>
      </c>
      <c r="K9" s="576">
        <f t="shared" ref="K9" si="12">(1/J9-1.0256)*100</f>
        <v>-21.129349179760592</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0.46345514950166111</v>
      </c>
      <c r="J10" s="520">
        <f t="shared" ref="J10" si="13">I10/H10</f>
        <v>1.2278628201354136</v>
      </c>
      <c r="K10" s="576">
        <f t="shared" ref="K10" si="14">(1/J10-1.0256)*100</f>
        <v>-21.11767732345573</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0.46345514950166111</v>
      </c>
      <c r="J11" s="520">
        <f t="shared" ref="J11" si="15">I11/H11</f>
        <v>1.2306138628813046</v>
      </c>
      <c r="K11" s="576">
        <f t="shared" ref="K11" si="16">(1/J11-1.0256)*100</f>
        <v>-21.299741996840147</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0.46345514950166111</v>
      </c>
      <c r="J12" s="520">
        <f t="shared" ref="J12" si="17">I12/H12</f>
        <v>1.2306138628813046</v>
      </c>
      <c r="K12" s="576">
        <f t="shared" ref="K12" si="18">(1/J12-1.0256)*100</f>
        <v>-21.299741996840147</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0.46345514950166111</v>
      </c>
      <c r="J13" s="520">
        <f t="shared" ref="J13" si="19">I13/H13</f>
        <v>1.2306138628813046</v>
      </c>
      <c r="K13" s="576">
        <f t="shared" ref="K13" si="20">(1/J13-1.0256)*100</f>
        <v>-21.299741996840147</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0.46345514950166111</v>
      </c>
      <c r="J14" s="520">
        <f t="shared" ref="J14" si="21">I14/H14</f>
        <v>1.2294435215946844</v>
      </c>
      <c r="K14" s="576">
        <f t="shared" ref="K14" si="22">(1/J14-1.0256)*100</f>
        <v>-21.22238811011654</v>
      </c>
      <c r="L14" s="512"/>
      <c r="M14" s="347"/>
      <c r="N14" s="511" t="s">
        <v>7044</v>
      </c>
      <c r="O14" s="313">
        <v>38.4</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0.46345514950166111</v>
      </c>
      <c r="J15" s="520">
        <f t="shared" ref="J15" si="23">I15/H15</f>
        <v>1.1873196264025576</v>
      </c>
      <c r="K15" s="576">
        <f t="shared" ref="K15" si="24">(1/J15-1.0256)*100</f>
        <v>-18.336680704766472</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117514</v>
      </c>
      <c r="Q17" s="331">
        <v>450000</v>
      </c>
      <c r="U17">
        <v>11211</v>
      </c>
      <c r="V17">
        <f>U17*Q17/P17</f>
        <v>42930.629542012015</v>
      </c>
    </row>
    <row r="18" spans="1:28" ht="21">
      <c r="A18" s="229" t="s">
        <v>7048</v>
      </c>
      <c r="B18" s="225" t="s">
        <v>4134</v>
      </c>
      <c r="C18" s="224">
        <v>1775</v>
      </c>
      <c r="D18" s="302">
        <v>149036</v>
      </c>
      <c r="E18" s="438" t="s">
        <v>7044</v>
      </c>
      <c r="F18" s="439">
        <v>36.6</v>
      </c>
      <c r="G18" s="498">
        <f>C18*D18*0.9912/(F18*1.00115)</f>
        <v>7156004.4113204228</v>
      </c>
      <c r="H18" s="440">
        <f>C18/F18</f>
        <v>48.497267759562838</v>
      </c>
      <c r="I18" s="497">
        <f>$O$22/$O$14</f>
        <v>46.484375</v>
      </c>
      <c r="J18" s="440">
        <f>I18/H18</f>
        <v>0.95849471830985922</v>
      </c>
      <c r="K18" s="441">
        <f>(1/J18-1.0152)*100</f>
        <v>2.8102566928410511</v>
      </c>
      <c r="L18" s="512"/>
      <c r="M18" s="347"/>
      <c r="N18" s="508" t="s">
        <v>6919</v>
      </c>
      <c r="O18" s="509">
        <v>1932</v>
      </c>
      <c r="P18" s="331">
        <f>P17*Q18/Q17</f>
        <v>13057.111111111111</v>
      </c>
      <c r="Q18" s="331">
        <v>50000</v>
      </c>
      <c r="U18" s="368"/>
      <c r="V18" s="368"/>
      <c r="W18" s="535"/>
      <c r="Y18" t="s">
        <v>25</v>
      </c>
    </row>
    <row r="19" spans="1:28" ht="21">
      <c r="A19" s="229"/>
      <c r="B19" s="225"/>
      <c r="C19" s="224"/>
      <c r="D19" s="302"/>
      <c r="E19" s="438"/>
      <c r="F19" s="439"/>
      <c r="G19" s="498"/>
      <c r="H19" s="440"/>
      <c r="I19" s="497"/>
      <c r="J19" s="440"/>
      <c r="K19" s="441"/>
      <c r="L19" s="512"/>
      <c r="M19" s="347"/>
      <c r="N19" s="505" t="s">
        <v>6918</v>
      </c>
      <c r="O19" s="505">
        <v>305</v>
      </c>
      <c r="P19" s="331">
        <f>P17-P18</f>
        <v>104456.88888888889</v>
      </c>
      <c r="Q19" s="331">
        <f>Q17-Q18</f>
        <v>400000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120.4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2220.411445389143</v>
      </c>
    </row>
    <row r="22" spans="1:28" ht="21">
      <c r="A22" s="229"/>
      <c r="B22" s="225"/>
      <c r="C22" s="224"/>
      <c r="D22" s="302"/>
      <c r="E22" s="438"/>
      <c r="F22" s="439"/>
      <c r="G22" s="498"/>
      <c r="H22" s="440"/>
      <c r="I22" s="497"/>
      <c r="J22" s="440"/>
      <c r="K22" s="441"/>
      <c r="L22" s="512"/>
      <c r="M22" s="347"/>
      <c r="N22" s="303" t="s">
        <v>4134</v>
      </c>
      <c r="O22" s="551">
        <v>1785</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827.26744186046506</v>
      </c>
      <c r="P23" s="570">
        <v>765</v>
      </c>
      <c r="Q23" s="358"/>
      <c r="S23" s="354">
        <v>63932.799498746863</v>
      </c>
      <c r="T23" s="354">
        <f>S23*O22*1.003632/(O30*0.9912)</f>
        <v>7046.6754048844541</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510</v>
      </c>
      <c r="Q24" t="s">
        <v>25</v>
      </c>
      <c r="S24" s="354">
        <v>238071</v>
      </c>
      <c r="T24" s="354">
        <f>S24*O24*1.003632/(O30*0.9912)</f>
        <v>7497.1982790377497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17591</v>
      </c>
      <c r="S26" s="63">
        <f>R26/0.9912</f>
        <v>17747.175141242937</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0.92391304347826086</v>
      </c>
      <c r="J34" s="565">
        <f>I34/H34</f>
        <v>0.88827209824589803</v>
      </c>
      <c r="K34" s="441">
        <f>(1/J34-1.0152)*100</f>
        <v>11.058116770158023</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3" si="27">K39+J39</f>
        <v>172909.11183951318</v>
      </c>
      <c r="M39" s="567">
        <f>L39*$O$11*1.00115/($O$18*0.99885)</f>
        <v>8970.3551070339909</v>
      </c>
      <c r="N39" s="567">
        <f t="shared" ref="N39:N43" si="28">L39-M39</f>
        <v>163938.75673247917</v>
      </c>
      <c r="O39" s="567">
        <f t="shared" ref="O39:O40" si="29">N39*$O$18*0.99885/($O$22*1.003631981)</f>
        <v>176594.15337758372</v>
      </c>
      <c r="P39" s="440">
        <f t="shared" ref="P39:P43" si="30">O39/D39</f>
        <v>1.088904359323104</v>
      </c>
      <c r="Q39" s="440">
        <f t="shared" ref="Q39:Q43" si="31">100*(O39-D39)/D39</f>
        <v>8.8904359323104014</v>
      </c>
      <c r="R39" s="384" t="s">
        <v>422</v>
      </c>
      <c r="S39" s="542">
        <f t="shared" ref="S39:S43" si="32">C39*D39*Q39/100</f>
        <v>31647846.663796257</v>
      </c>
      <c r="U39" s="358"/>
      <c r="V39" s="456"/>
    </row>
    <row r="40" spans="1:22" ht="23.25">
      <c r="A40" s="544" t="s">
        <v>7039</v>
      </c>
      <c r="B40" s="225" t="s">
        <v>4134</v>
      </c>
      <c r="C40" s="224">
        <v>2055</v>
      </c>
      <c r="D40" s="302">
        <v>150385</v>
      </c>
      <c r="E40" s="562" t="s">
        <v>6919</v>
      </c>
      <c r="F40" s="563">
        <v>2047</v>
      </c>
      <c r="G40" s="564" t="s">
        <v>7029</v>
      </c>
      <c r="H40" s="565">
        <v>135</v>
      </c>
      <c r="I40" s="566">
        <v>2047</v>
      </c>
      <c r="J40" s="565">
        <f t="shared" ref="J40" si="33">C40*D40*0.9912/(F40*1.00115)</f>
        <v>149472.27525668393</v>
      </c>
      <c r="K40" s="567">
        <f t="shared" ref="K40" si="34">J40*H40*0.99885/(I40*1.00115-H40*0.99885)</f>
        <v>10527.789856606458</v>
      </c>
      <c r="L40" s="568">
        <f t="shared" si="27"/>
        <v>160000.06511329039</v>
      </c>
      <c r="M40" s="567">
        <f>L40*$O$11*1.00115/($O$18*0.99885)</f>
        <v>8300.6464260074372</v>
      </c>
      <c r="N40" s="567">
        <f t="shared" si="28"/>
        <v>151699.41868728295</v>
      </c>
      <c r="O40" s="567">
        <f t="shared" si="29"/>
        <v>163409.9888574116</v>
      </c>
      <c r="P40" s="440">
        <f t="shared" si="30"/>
        <v>1.0866109575915923</v>
      </c>
      <c r="Q40" s="440">
        <f t="shared" si="31"/>
        <v>8.6610957591592275</v>
      </c>
      <c r="R40" s="384" t="s">
        <v>422</v>
      </c>
      <c r="S40" s="542">
        <f t="shared" si="32"/>
        <v>26766352.10198085</v>
      </c>
      <c r="U40" s="358"/>
      <c r="V40" s="456"/>
    </row>
    <row r="41" spans="1:22" ht="18.75" customHeight="1">
      <c r="A41" s="544" t="s">
        <v>7026</v>
      </c>
      <c r="B41" s="520" t="s">
        <v>4134</v>
      </c>
      <c r="C41" s="521">
        <v>2672.619370349943</v>
      </c>
      <c r="D41" s="522">
        <v>2705.05</v>
      </c>
      <c r="E41" s="339" t="s">
        <v>5594</v>
      </c>
      <c r="F41" s="524">
        <v>146.16900000000001</v>
      </c>
      <c r="G41" s="524" t="s">
        <v>7027</v>
      </c>
      <c r="H41" s="524">
        <v>3</v>
      </c>
      <c r="I41" s="524">
        <v>129.5</v>
      </c>
      <c r="J41" s="525">
        <f t="shared" ref="J41" si="35">C41*D41*0.9912/(F41*1.003631981)</f>
        <v>48847.679168338589</v>
      </c>
      <c r="K41" s="525">
        <f t="shared" ref="K41" si="36">J41*H41*0.99885/(I41*1.003631981-H41*0.99885)</f>
        <v>1152.793117675388</v>
      </c>
      <c r="L41" s="547">
        <f t="shared" si="27"/>
        <v>50000.472286013974</v>
      </c>
      <c r="M41" s="525" t="e">
        <f>L41*#REF!*1.00115/($O$20*0.9912)</f>
        <v>#REF!</v>
      </c>
      <c r="N41" s="525" t="e">
        <f t="shared" si="28"/>
        <v>#REF!</v>
      </c>
      <c r="O41" s="525" t="e">
        <f>N41*$O$20*0.9912/($O$22*1.003631981)</f>
        <v>#REF!</v>
      </c>
      <c r="P41" s="440" t="e">
        <f t="shared" si="30"/>
        <v>#REF!</v>
      </c>
      <c r="Q41" s="440" t="e">
        <f t="shared" si="31"/>
        <v>#REF!</v>
      </c>
      <c r="R41" s="384" t="s">
        <v>422</v>
      </c>
      <c r="S41" s="542" t="e">
        <f t="shared" si="32"/>
        <v>#REF!</v>
      </c>
      <c r="T41" s="358"/>
      <c r="U41" s="358"/>
      <c r="V41" s="456"/>
    </row>
    <row r="42" spans="1:22" ht="21.75" customHeight="1">
      <c r="A42" s="544" t="s">
        <v>7022</v>
      </c>
      <c r="B42" s="235" t="s">
        <v>5139</v>
      </c>
      <c r="C42" s="527">
        <v>926.43799999999999</v>
      </c>
      <c r="D42" s="528">
        <v>345379</v>
      </c>
      <c r="E42" s="507" t="s">
        <v>6918</v>
      </c>
      <c r="F42" s="529">
        <v>396</v>
      </c>
      <c r="G42" s="529" t="s">
        <v>7023</v>
      </c>
      <c r="H42" s="529">
        <v>15.8</v>
      </c>
      <c r="I42" s="529">
        <v>396</v>
      </c>
      <c r="J42" s="523">
        <f t="shared" ref="J42" si="37">C42*D42*0.9912/(F42*1.003631981)</f>
        <v>798001.86022887181</v>
      </c>
      <c r="K42" s="523">
        <f t="shared" ref="K42:K43" si="38">J42*H42*0.99885/(I42*1.003631981-H42*0.99885)</f>
        <v>32998.080368032599</v>
      </c>
      <c r="L42" s="548">
        <f t="shared" si="27"/>
        <v>830999.94059690437</v>
      </c>
      <c r="M42" s="523">
        <f>L42*$O$13*1.00115/($O$19*0.9912)</f>
        <v>825.58209674174452</v>
      </c>
      <c r="N42" s="523">
        <f t="shared" si="28"/>
        <v>830174.35850016261</v>
      </c>
      <c r="O42" s="523">
        <f>N42*$O$19*0.9912/($O$23*1.003631981)</f>
        <v>302280.42470027023</v>
      </c>
      <c r="P42" s="440">
        <f t="shared" si="30"/>
        <v>0.87521367743919065</v>
      </c>
      <c r="Q42" s="440">
        <f t="shared" si="31"/>
        <v>-12.478632256080934</v>
      </c>
      <c r="R42" s="384" t="s">
        <v>422</v>
      </c>
      <c r="S42" s="542">
        <f t="shared" si="32"/>
        <v>-39928157.903531045</v>
      </c>
      <c r="V42" s="456"/>
    </row>
    <row r="43" spans="1:22" ht="23.25">
      <c r="A43" s="544" t="s">
        <v>7022</v>
      </c>
      <c r="B43" s="235" t="s">
        <v>5139</v>
      </c>
      <c r="C43" s="527">
        <v>917.25900000000001</v>
      </c>
      <c r="D43" s="528">
        <v>335592</v>
      </c>
      <c r="E43" s="489" t="s">
        <v>6918</v>
      </c>
      <c r="F43" s="526">
        <v>396</v>
      </c>
      <c r="G43" s="526" t="s">
        <v>7024</v>
      </c>
      <c r="H43" s="526">
        <v>28.3</v>
      </c>
      <c r="I43" s="526">
        <v>375.27300000000002</v>
      </c>
      <c r="J43" s="523">
        <f>C43*D43*0.9912/(F43*1.003631981)</f>
        <v>767706.46290384687</v>
      </c>
      <c r="K43" s="523">
        <f t="shared" si="38"/>
        <v>62293.537049278442</v>
      </c>
      <c r="L43" s="548">
        <f t="shared" si="27"/>
        <v>829999.99995312537</v>
      </c>
      <c r="M43" s="523">
        <f>L43*$O$12*1.00115/($O$19*0.9912)</f>
        <v>3298.3547015165782</v>
      </c>
      <c r="N43" s="523">
        <f t="shared" si="28"/>
        <v>826701.6452516088</v>
      </c>
      <c r="O43" s="523">
        <f>N43*$O$19*0.9912/($O$23*1.003631981)</f>
        <v>301015.9514906524</v>
      </c>
      <c r="P43" s="440">
        <f t="shared" si="30"/>
        <v>0.89696998584785215</v>
      </c>
      <c r="Q43" s="440">
        <f t="shared" si="31"/>
        <v>-10.303001415214785</v>
      </c>
      <c r="R43" s="384" t="s">
        <v>4317</v>
      </c>
      <c r="S43" s="542">
        <f t="shared" si="32"/>
        <v>-31715191.679635674</v>
      </c>
      <c r="V43" s="456"/>
    </row>
    <row r="44" spans="1:22" ht="18.75" customHeight="1">
      <c r="V44" s="456"/>
    </row>
    <row r="45" spans="1:22" ht="20.25" customHeight="1">
      <c r="A45" s="225"/>
      <c r="B45" s="225"/>
      <c r="C45" s="224"/>
      <c r="D45" s="302"/>
      <c r="E45" s="250"/>
      <c r="F45" s="334"/>
      <c r="G45" s="319"/>
      <c r="H45" s="339"/>
      <c r="I45" s="340"/>
      <c r="J45" s="228"/>
      <c r="K45" s="228"/>
      <c r="L45" s="228"/>
      <c r="M45" s="400" t="s">
        <v>25</v>
      </c>
      <c r="N45" s="368"/>
      <c r="O45" t="s">
        <v>25</v>
      </c>
      <c r="P45" t="s">
        <v>25</v>
      </c>
      <c r="Q45" t="s">
        <v>25</v>
      </c>
      <c r="T45" s="337"/>
      <c r="V45" s="456"/>
    </row>
    <row r="46" spans="1:22" ht="18.75">
      <c r="A46" s="225"/>
      <c r="B46" s="225"/>
      <c r="C46" s="224"/>
      <c r="D46" s="302"/>
      <c r="E46" s="250"/>
      <c r="F46" s="334"/>
      <c r="G46" s="319"/>
      <c r="H46" s="339"/>
      <c r="I46" s="340"/>
      <c r="J46" s="228"/>
      <c r="K46" s="228"/>
      <c r="L46" s="228"/>
      <c r="M46" s="346" t="s">
        <v>25</v>
      </c>
      <c r="N46" s="36" t="s">
        <v>25</v>
      </c>
      <c r="O46" t="s">
        <v>25</v>
      </c>
      <c r="Q46" t="s">
        <v>25</v>
      </c>
      <c r="S46" s="542" t="e">
        <f>SUM(S39:S43)</f>
        <v>#REF!</v>
      </c>
      <c r="T46" s="358"/>
      <c r="U46" s="358"/>
      <c r="V46" s="456"/>
    </row>
    <row r="47" spans="1:22" ht="21">
      <c r="A47" s="250"/>
      <c r="B47" s="250"/>
      <c r="C47" s="334"/>
      <c r="D47" s="319"/>
      <c r="E47" s="170"/>
      <c r="F47" s="170"/>
      <c r="G47" s="170"/>
      <c r="H47" s="170"/>
      <c r="I47" s="170"/>
      <c r="J47" s="357"/>
      <c r="K47" s="371"/>
      <c r="L47" s="357"/>
      <c r="M47" s="346" t="s">
        <v>25</v>
      </c>
      <c r="N47" s="36" t="s">
        <v>25</v>
      </c>
      <c r="O47" t="s">
        <v>25</v>
      </c>
      <c r="R47" t="s">
        <v>25</v>
      </c>
      <c r="V47" s="456"/>
    </row>
    <row r="48" spans="1:22" ht="21">
      <c r="A48" s="250"/>
      <c r="B48" s="250"/>
      <c r="C48" s="334"/>
      <c r="D48" s="319"/>
      <c r="E48" s="170"/>
      <c r="F48" s="170"/>
      <c r="G48" s="170"/>
      <c r="H48" s="170"/>
      <c r="I48" s="170"/>
      <c r="J48" s="357"/>
      <c r="K48" s="371"/>
      <c r="L48" s="357"/>
      <c r="M48" s="346"/>
      <c r="N48" t="s">
        <v>25</v>
      </c>
      <c r="O48" s="515"/>
      <c r="P48" t="s">
        <v>25</v>
      </c>
      <c r="V48" s="456"/>
    </row>
    <row r="49" spans="1:33" ht="21">
      <c r="A49" s="225"/>
      <c r="B49" s="225"/>
      <c r="C49" s="224"/>
      <c r="D49" s="225"/>
      <c r="E49" s="315"/>
      <c r="F49" s="315"/>
      <c r="G49" s="315"/>
      <c r="H49" s="315"/>
      <c r="I49" s="315"/>
      <c r="J49" s="315"/>
      <c r="K49" s="316"/>
      <c r="L49" s="315"/>
      <c r="O49" s="400" t="s">
        <v>25</v>
      </c>
      <c r="P49" t="s">
        <v>25</v>
      </c>
    </row>
    <row r="50" spans="1:33" ht="25.5" customHeight="1">
      <c r="A50" s="225"/>
      <c r="B50" s="225"/>
      <c r="C50" s="224"/>
      <c r="D50" s="225"/>
      <c r="E50" s="384"/>
      <c r="F50" s="384"/>
      <c r="G50" s="385"/>
      <c r="H50" s="384"/>
      <c r="I50" s="384"/>
      <c r="J50" s="357"/>
      <c r="K50" s="357"/>
      <c r="L50" s="357"/>
      <c r="M50" s="352" t="s">
        <v>25</v>
      </c>
      <c r="O50" s="515" t="s">
        <v>25</v>
      </c>
      <c r="Q50" t="s">
        <v>25</v>
      </c>
    </row>
    <row r="51" spans="1:33" ht="15.75">
      <c r="A51" s="225"/>
      <c r="B51" s="225"/>
      <c r="C51" s="224"/>
      <c r="D51" s="225"/>
      <c r="E51" s="384"/>
      <c r="F51" s="384"/>
      <c r="G51" s="385"/>
      <c r="H51" s="384"/>
      <c r="I51" s="384"/>
      <c r="J51" s="357"/>
      <c r="K51" s="357"/>
      <c r="L51" s="357"/>
      <c r="O51" s="400" t="s">
        <v>25</v>
      </c>
      <c r="Q51" t="s">
        <v>25</v>
      </c>
    </row>
    <row r="52" spans="1:33" ht="23.25" customHeight="1">
      <c r="A52" s="227" t="s">
        <v>6814</v>
      </c>
      <c r="B52" s="227" t="s">
        <v>5139</v>
      </c>
      <c r="C52" s="226">
        <v>528</v>
      </c>
      <c r="D52" s="299">
        <v>1</v>
      </c>
      <c r="E52" s="332" t="s">
        <v>6813</v>
      </c>
      <c r="F52" s="332">
        <v>13559.5</v>
      </c>
      <c r="G52" s="335">
        <f>C52*D52*0.9912/(F52*1.00115)</f>
        <v>3.8552486057752494E-2</v>
      </c>
      <c r="H52" s="332">
        <f>C52/F52</f>
        <v>3.8939488919207933E-2</v>
      </c>
      <c r="I52" s="332">
        <f>$O$23/$O$26</f>
        <v>4.4309986173565345E-2</v>
      </c>
      <c r="J52" s="332">
        <f>I52/H52</f>
        <v>1.1379190483342032</v>
      </c>
      <c r="K52" s="333">
        <f>(1/J52-1.015)*100</f>
        <v>-13.620286459401697</v>
      </c>
      <c r="L52" s="332"/>
      <c r="M52" t="s">
        <v>25</v>
      </c>
      <c r="O52" t="s">
        <v>25</v>
      </c>
    </row>
    <row r="53" spans="1:33" ht="25.5" customHeight="1">
      <c r="A53" s="227"/>
      <c r="B53" s="227"/>
      <c r="C53" s="226"/>
      <c r="D53" s="299"/>
      <c r="E53" s="332"/>
      <c r="F53" s="332"/>
      <c r="G53" s="335"/>
      <c r="H53" s="332"/>
      <c r="I53" s="332"/>
      <c r="J53" s="332"/>
      <c r="K53" s="333"/>
      <c r="L53" s="332"/>
      <c r="O53" t="s">
        <v>25</v>
      </c>
    </row>
    <row r="54" spans="1:33" ht="21">
      <c r="A54" s="250"/>
      <c r="B54" s="250"/>
      <c r="C54" s="334"/>
      <c r="D54" s="319"/>
      <c r="E54" s="332"/>
      <c r="F54" s="332"/>
      <c r="G54" s="335"/>
      <c r="H54" s="332"/>
      <c r="I54" s="332"/>
      <c r="J54" s="332"/>
      <c r="K54" s="333"/>
      <c r="L54" s="332"/>
      <c r="M54" t="s">
        <v>25</v>
      </c>
    </row>
    <row r="55" spans="1:33" ht="21">
      <c r="A55" s="332" t="s">
        <v>6827</v>
      </c>
      <c r="B55" s="332" t="s">
        <v>6830</v>
      </c>
      <c r="C55" s="347">
        <v>8724.2999999999993</v>
      </c>
      <c r="D55" s="335">
        <v>71134</v>
      </c>
      <c r="E55" s="302" t="s">
        <v>4134</v>
      </c>
      <c r="F55" s="302">
        <v>1719.9647014073792</v>
      </c>
      <c r="G55" s="302">
        <f t="shared" ref="G55:G75" si="39">C55*D55*0.99885/(F55*1.003631981)</f>
        <v>359098.89592002367</v>
      </c>
      <c r="H55" s="225">
        <f t="shared" ref="H55:H76" si="40">C55/F55</f>
        <v>5.0723715392887128</v>
      </c>
      <c r="I55" s="225">
        <f>$O$27/$O$22</f>
        <v>8.1988795518207276</v>
      </c>
      <c r="J55" s="28">
        <f>I55/H55</f>
        <v>1.6163799296473536</v>
      </c>
      <c r="K55" s="230">
        <f t="shared" ref="K55" si="41">(1/J55-1.015)*100</f>
        <v>-39.633357037032091</v>
      </c>
      <c r="L55" s="228"/>
      <c r="M55" t="s">
        <v>25</v>
      </c>
      <c r="O55" t="s">
        <v>25</v>
      </c>
    </row>
    <row r="56" spans="1:33" ht="21" customHeight="1">
      <c r="A56" s="332" t="s">
        <v>6827</v>
      </c>
      <c r="B56" s="332" t="s">
        <v>6813</v>
      </c>
      <c r="C56" s="347">
        <v>14116.9</v>
      </c>
      <c r="D56" s="335">
        <v>22382</v>
      </c>
      <c r="E56" s="302" t="s">
        <v>4134</v>
      </c>
      <c r="F56" s="302">
        <v>1720.6021300874859</v>
      </c>
      <c r="G56" s="302">
        <f t="shared" si="39"/>
        <v>182761.01261804847</v>
      </c>
      <c r="H56" s="225">
        <f t="shared" si="40"/>
        <v>8.2046277597495543</v>
      </c>
      <c r="I56" s="225">
        <f t="shared" ref="I56:I61" si="42">$O$26/$O$22</f>
        <v>10.459383753501401</v>
      </c>
      <c r="J56" s="28">
        <f>I56/H56</f>
        <v>1.27481514820371</v>
      </c>
      <c r="K56" s="230">
        <f t="shared" ref="K56" si="43">(1/J56-1.015)*100</f>
        <v>-23.057254680487649</v>
      </c>
      <c r="L56" s="228"/>
      <c r="N56" t="s">
        <v>25</v>
      </c>
    </row>
    <row r="57" spans="1:33" ht="19.5" customHeight="1">
      <c r="A57" s="332" t="s">
        <v>6829</v>
      </c>
      <c r="B57" s="332" t="s">
        <v>6813</v>
      </c>
      <c r="C57" s="347">
        <v>14385</v>
      </c>
      <c r="D57" s="335">
        <v>15000</v>
      </c>
      <c r="E57" s="302" t="s">
        <v>4134</v>
      </c>
      <c r="F57" s="302">
        <v>1709.5837200456449</v>
      </c>
      <c r="G57" s="302">
        <f t="shared" si="39"/>
        <v>125613.56285967458</v>
      </c>
      <c r="H57" s="225">
        <f t="shared" si="40"/>
        <v>8.4143290739899701</v>
      </c>
      <c r="I57" s="225">
        <f t="shared" si="42"/>
        <v>10.459383753501401</v>
      </c>
      <c r="J57" s="28">
        <f t="shared" ref="J57:J58" si="44">I57/H57</f>
        <v>1.2430442952169556</v>
      </c>
      <c r="K57" s="230">
        <f t="shared" ref="K57" si="45">(1/J57-1.015)*100</f>
        <v>-21.052343882848966</v>
      </c>
      <c r="L57" s="228"/>
      <c r="M57" t="s">
        <v>25</v>
      </c>
      <c r="N57" t="s">
        <v>25</v>
      </c>
      <c r="O57" t="s">
        <v>25</v>
      </c>
      <c r="P57" t="s">
        <v>25</v>
      </c>
      <c r="AC57" s="353"/>
      <c r="AD57" s="353"/>
      <c r="AE57" s="353"/>
      <c r="AF57" s="353"/>
      <c r="AG57" s="353"/>
    </row>
    <row r="58" spans="1:33" ht="20.25" customHeight="1">
      <c r="A58" s="332" t="s">
        <v>6831</v>
      </c>
      <c r="B58" s="332" t="s">
        <v>6813</v>
      </c>
      <c r="C58" s="347">
        <v>14647</v>
      </c>
      <c r="D58" s="335">
        <v>6000</v>
      </c>
      <c r="E58" s="302" t="s">
        <v>4075</v>
      </c>
      <c r="F58" s="302">
        <v>1711.9513122860403</v>
      </c>
      <c r="G58" s="302">
        <f t="shared" si="39"/>
        <v>51089.812037703196</v>
      </c>
      <c r="H58" s="225">
        <f t="shared" si="40"/>
        <v>8.5557339714534564</v>
      </c>
      <c r="I58" s="225">
        <f t="shared" si="42"/>
        <v>10.459383753501401</v>
      </c>
      <c r="J58" s="28">
        <f t="shared" si="44"/>
        <v>1.2224998800102418</v>
      </c>
      <c r="K58" s="230">
        <f>(1/J58-1.015)*100</f>
        <v>-19.700400969231801</v>
      </c>
      <c r="L58" s="228"/>
      <c r="O58" t="s">
        <v>25</v>
      </c>
      <c r="Z58" s="456"/>
      <c r="AC58" s="353"/>
      <c r="AD58" s="353"/>
      <c r="AE58" s="353"/>
      <c r="AF58" s="353"/>
      <c r="AG58" s="353"/>
    </row>
    <row r="59" spans="1:33" ht="21">
      <c r="A59" s="332" t="s">
        <v>6832</v>
      </c>
      <c r="B59" s="332" t="s">
        <v>6813</v>
      </c>
      <c r="C59" s="347">
        <v>14870</v>
      </c>
      <c r="D59" s="335">
        <v>3642</v>
      </c>
      <c r="E59" s="302" t="s">
        <v>4134</v>
      </c>
      <c r="F59" s="302">
        <v>1702.8451882845188</v>
      </c>
      <c r="G59" s="302">
        <f t="shared" si="39"/>
        <v>31652.026864165495</v>
      </c>
      <c r="H59" s="225">
        <f t="shared" si="40"/>
        <v>8.7324438547348766</v>
      </c>
      <c r="I59" s="225">
        <f t="shared" si="42"/>
        <v>10.459383753501401</v>
      </c>
      <c r="J59" s="28">
        <f t="shared" ref="J59" si="46">I59/H59</f>
        <v>1.1977613515178971</v>
      </c>
      <c r="K59" s="230">
        <f>(1/J59-1.015)*100</f>
        <v>-18.01091440438266</v>
      </c>
      <c r="L59" s="228"/>
      <c r="M59" t="s">
        <v>25</v>
      </c>
      <c r="N59" t="s">
        <v>25</v>
      </c>
      <c r="O59" t="s">
        <v>25</v>
      </c>
      <c r="Z59" s="456"/>
      <c r="AC59" s="353"/>
      <c r="AD59" s="353"/>
      <c r="AE59" s="353"/>
      <c r="AF59" s="353"/>
      <c r="AG59" s="353"/>
    </row>
    <row r="60" spans="1:33" ht="21">
      <c r="A60" s="332" t="s">
        <v>6832</v>
      </c>
      <c r="B60" s="332" t="s">
        <v>6813</v>
      </c>
      <c r="C60" s="347">
        <v>14870</v>
      </c>
      <c r="D60" s="335">
        <v>3721</v>
      </c>
      <c r="E60" s="348" t="s">
        <v>4134</v>
      </c>
      <c r="F60" s="302">
        <v>1702.8451882845188</v>
      </c>
      <c r="G60" s="302">
        <f t="shared" si="39"/>
        <v>32338.602954848928</v>
      </c>
      <c r="H60" s="225">
        <f t="shared" si="40"/>
        <v>8.7324438547348766</v>
      </c>
      <c r="I60" s="225">
        <f t="shared" si="42"/>
        <v>10.459383753501401</v>
      </c>
      <c r="J60" s="28">
        <f t="shared" ref="J60" si="47">I60/H60</f>
        <v>1.1977613515178971</v>
      </c>
      <c r="K60" s="230">
        <f t="shared" ref="K60" si="48">(1/J60-1.015)*100</f>
        <v>-18.01091440438266</v>
      </c>
      <c r="L60" s="228"/>
      <c r="N60" t="s">
        <v>25</v>
      </c>
      <c r="O60" t="s">
        <v>25</v>
      </c>
      <c r="Z60" s="456"/>
      <c r="AC60" s="353"/>
      <c r="AD60" s="353"/>
      <c r="AE60" s="353"/>
      <c r="AF60" s="353"/>
      <c r="AG60" s="353"/>
    </row>
    <row r="61" spans="1:33" ht="21">
      <c r="A61" s="332" t="s">
        <v>6832</v>
      </c>
      <c r="B61" s="332" t="s">
        <v>6813</v>
      </c>
      <c r="C61" s="347">
        <v>15600</v>
      </c>
      <c r="D61" s="335">
        <v>35181</v>
      </c>
      <c r="E61" s="348" t="s">
        <v>4134</v>
      </c>
      <c r="F61" s="302">
        <v>1693.2382274629138</v>
      </c>
      <c r="G61" s="302">
        <f t="shared" si="39"/>
        <v>322582.27142649592</v>
      </c>
      <c r="H61" s="225">
        <f t="shared" si="40"/>
        <v>9.2131158787824372</v>
      </c>
      <c r="I61" s="225">
        <f t="shared" si="42"/>
        <v>10.459383753501401</v>
      </c>
      <c r="J61" s="28">
        <f>I61/H61</f>
        <v>1.1352710517393019</v>
      </c>
      <c r="K61" s="230">
        <f>(1/J61-1.015)*100</f>
        <v>-13.415308818282522</v>
      </c>
      <c r="L61" s="228"/>
      <c r="N61" t="s">
        <v>25</v>
      </c>
      <c r="O61" t="s">
        <v>25</v>
      </c>
      <c r="Z61" s="456"/>
      <c r="AC61" s="353"/>
      <c r="AD61" s="353"/>
      <c r="AE61" s="353"/>
      <c r="AF61" s="353"/>
      <c r="AG61" s="353"/>
    </row>
    <row r="62" spans="1:33" ht="24" customHeight="1">
      <c r="A62" s="332" t="s">
        <v>6832</v>
      </c>
      <c r="B62" s="332" t="s">
        <v>6813</v>
      </c>
      <c r="C62" s="347">
        <v>14870</v>
      </c>
      <c r="D62" s="335">
        <v>2279</v>
      </c>
      <c r="E62" s="319" t="s">
        <v>4542</v>
      </c>
      <c r="F62" s="319">
        <v>435</v>
      </c>
      <c r="G62" s="319">
        <f t="shared" si="39"/>
        <v>77533.93376708201</v>
      </c>
      <c r="H62" s="250">
        <f t="shared" si="40"/>
        <v>34.183908045977013</v>
      </c>
      <c r="I62" s="250">
        <f>$O$26/$O$24</f>
        <v>36.607843137254903</v>
      </c>
      <c r="J62" s="28">
        <f>I62/H62</f>
        <v>1.0709086593615254</v>
      </c>
      <c r="K62" s="230">
        <f>(1/J62-1.015)*100</f>
        <v>-8.1213545610697491</v>
      </c>
      <c r="L62" s="228"/>
      <c r="N62" t="s">
        <v>25</v>
      </c>
      <c r="Z62" s="456"/>
      <c r="AC62" s="353"/>
      <c r="AD62" s="353"/>
      <c r="AE62" s="353"/>
      <c r="AF62" s="353"/>
      <c r="AG62" s="353"/>
    </row>
    <row r="63" spans="1:33" ht="21">
      <c r="A63" s="332" t="s">
        <v>6832</v>
      </c>
      <c r="B63" s="332" t="s">
        <v>6813</v>
      </c>
      <c r="C63" s="347">
        <v>14870</v>
      </c>
      <c r="D63" s="335">
        <v>2279</v>
      </c>
      <c r="E63" s="351" t="s">
        <v>4542</v>
      </c>
      <c r="F63" s="319">
        <v>435</v>
      </c>
      <c r="G63" s="319">
        <f t="shared" si="39"/>
        <v>77533.93376708201</v>
      </c>
      <c r="H63" s="250">
        <f t="shared" si="40"/>
        <v>34.183908045977013</v>
      </c>
      <c r="I63" s="250">
        <f>$O$26/$O$24</f>
        <v>36.607843137254903</v>
      </c>
      <c r="J63" s="28">
        <f>I63/H63</f>
        <v>1.0709086593615254</v>
      </c>
      <c r="K63" s="230">
        <f t="shared" ref="K63" si="49">(1/J63-1.015)*100</f>
        <v>-8.1213545610697491</v>
      </c>
      <c r="L63" s="228"/>
      <c r="N63" t="s">
        <v>25</v>
      </c>
      <c r="Z63" s="456"/>
      <c r="AC63" s="353"/>
      <c r="AD63" s="353"/>
      <c r="AE63" s="353"/>
      <c r="AF63" s="353"/>
      <c r="AG63" s="353"/>
    </row>
    <row r="64" spans="1:33" ht="21.75" customHeight="1">
      <c r="A64" s="332" t="s">
        <v>6832</v>
      </c>
      <c r="B64" s="332" t="s">
        <v>6813</v>
      </c>
      <c r="C64" s="347">
        <v>15600</v>
      </c>
      <c r="D64" s="335">
        <v>40264</v>
      </c>
      <c r="E64" s="351" t="s">
        <v>4542</v>
      </c>
      <c r="F64" s="319">
        <v>438</v>
      </c>
      <c r="G64" s="319">
        <f t="shared" si="39"/>
        <v>1427227.4417065773</v>
      </c>
      <c r="H64" s="250">
        <f t="shared" si="40"/>
        <v>35.61643835616438</v>
      </c>
      <c r="I64" s="250">
        <f>$O$26/$O$24</f>
        <v>36.607843137254903</v>
      </c>
      <c r="J64" s="28">
        <f>I64/H64</f>
        <v>1.0278355957767724</v>
      </c>
      <c r="K64" s="230">
        <f>(1/J64-1.015)*100</f>
        <v>-4.2081758883565357</v>
      </c>
      <c r="L64" s="228"/>
      <c r="N64" t="s">
        <v>25</v>
      </c>
      <c r="W64" s="456"/>
      <c r="X64" s="456"/>
      <c r="Y64" s="456"/>
      <c r="Z64" s="456"/>
      <c r="AC64" s="353"/>
      <c r="AD64" s="353"/>
      <c r="AE64" s="353"/>
      <c r="AF64" s="353"/>
      <c r="AG64" s="353"/>
    </row>
    <row r="65" spans="1:35" ht="21">
      <c r="A65" s="332" t="s">
        <v>6834</v>
      </c>
      <c r="B65" s="332" t="s">
        <v>6813</v>
      </c>
      <c r="C65" s="347">
        <v>16212</v>
      </c>
      <c r="D65" s="335">
        <v>224</v>
      </c>
      <c r="E65" s="351" t="s">
        <v>4542</v>
      </c>
      <c r="F65" s="319">
        <v>432</v>
      </c>
      <c r="G65" s="319">
        <f t="shared" si="39"/>
        <v>8366.1692987308925</v>
      </c>
      <c r="H65" s="250">
        <f t="shared" si="40"/>
        <v>37.527777777777779</v>
      </c>
      <c r="I65" s="250">
        <f>$O$26/$O$24</f>
        <v>36.607843137254903</v>
      </c>
      <c r="J65" s="28">
        <f>I65/H65</f>
        <v>0.9754865676840685</v>
      </c>
      <c r="K65" s="230">
        <f>(1/J65-1.015)*100</f>
        <v>1.0129441171219389</v>
      </c>
      <c r="L65" s="228"/>
      <c r="N65" t="s">
        <v>25</v>
      </c>
      <c r="O65" t="s">
        <v>25</v>
      </c>
      <c r="W65" s="456"/>
      <c r="X65" s="456"/>
      <c r="Y65" s="456"/>
      <c r="Z65" s="456"/>
      <c r="AC65" s="353"/>
      <c r="AD65" s="353"/>
      <c r="AE65" s="353"/>
      <c r="AF65" s="353"/>
      <c r="AG65" s="353"/>
    </row>
    <row r="66" spans="1:35" ht="21">
      <c r="A66" s="332" t="s">
        <v>6834</v>
      </c>
      <c r="B66" s="332" t="s">
        <v>6813</v>
      </c>
      <c r="C66" s="347">
        <v>16756</v>
      </c>
      <c r="D66" s="335">
        <v>716</v>
      </c>
      <c r="E66" s="351" t="s">
        <v>4542</v>
      </c>
      <c r="F66" s="319">
        <v>435</v>
      </c>
      <c r="G66" s="319">
        <f t="shared" si="39"/>
        <v>27448.581090175932</v>
      </c>
      <c r="H66" s="250">
        <f t="shared" si="40"/>
        <v>38.51954022988506</v>
      </c>
      <c r="I66" s="250">
        <f>$O$26/$O$24</f>
        <v>36.607843137254903</v>
      </c>
      <c r="J66" s="28">
        <f t="shared" ref="J66" si="50">I66/H66</f>
        <v>0.95037071882942714</v>
      </c>
      <c r="K66" s="230">
        <f t="shared" ref="K66" si="51">(1/J66-1.015)*100</f>
        <v>3.7220970393218034</v>
      </c>
      <c r="L66" s="228"/>
      <c r="O66" t="s">
        <v>25</v>
      </c>
      <c r="W66" s="456"/>
      <c r="X66" s="456"/>
      <c r="Y66" s="456"/>
      <c r="Z66" s="456"/>
      <c r="AC66" s="353"/>
      <c r="AD66" s="353"/>
      <c r="AE66" s="353"/>
      <c r="AF66" s="353"/>
      <c r="AG66" s="353"/>
    </row>
    <row r="67" spans="1:35" ht="25.5" customHeight="1">
      <c r="A67" s="332" t="s">
        <v>6832</v>
      </c>
      <c r="B67" s="332" t="s">
        <v>6813</v>
      </c>
      <c r="C67" s="347">
        <v>15800</v>
      </c>
      <c r="D67" s="335">
        <v>97579</v>
      </c>
      <c r="E67" s="350" t="s">
        <v>5139</v>
      </c>
      <c r="F67" s="299">
        <v>564.09649999999999</v>
      </c>
      <c r="G67" s="299">
        <f t="shared" si="39"/>
        <v>2720105.991936069</v>
      </c>
      <c r="H67" s="227">
        <f t="shared" si="40"/>
        <v>28.009392010055016</v>
      </c>
      <c r="I67" s="227">
        <f t="shared" ref="I67:I75" si="52">$O$26/$O$23</f>
        <v>22.568276055942093</v>
      </c>
      <c r="J67" s="28">
        <f t="shared" ref="J67:J76" si="53">I67/H67</f>
        <v>0.80573959077156576</v>
      </c>
      <c r="K67" s="230">
        <f t="shared" ref="K67:K71" si="54">(1/J67-1.015)*100</f>
        <v>22.60957726955095</v>
      </c>
      <c r="L67" s="228"/>
      <c r="N67" t="s">
        <v>25</v>
      </c>
      <c r="W67" s="456"/>
      <c r="X67" s="456"/>
      <c r="Y67" s="456"/>
      <c r="Z67" s="456"/>
      <c r="AC67" s="353"/>
      <c r="AD67" s="353"/>
      <c r="AE67" s="353"/>
      <c r="AF67" s="353"/>
      <c r="AG67" s="353"/>
    </row>
    <row r="68" spans="1:35" ht="21">
      <c r="A68" s="332" t="s">
        <v>6834</v>
      </c>
      <c r="B68" s="332" t="s">
        <v>6813</v>
      </c>
      <c r="C68" s="347">
        <v>16212</v>
      </c>
      <c r="D68" s="335">
        <v>12020</v>
      </c>
      <c r="E68" s="350" t="s">
        <v>5139</v>
      </c>
      <c r="F68" s="299">
        <v>568.19000000000005</v>
      </c>
      <c r="G68" s="299">
        <f t="shared" si="39"/>
        <v>341329.05544801702</v>
      </c>
      <c r="H68" s="227">
        <f t="shared" si="40"/>
        <v>28.53270912898854</v>
      </c>
      <c r="I68" s="227">
        <f t="shared" si="52"/>
        <v>22.568276055942093</v>
      </c>
      <c r="J68" s="28">
        <f t="shared" si="53"/>
        <v>0.79096155762556986</v>
      </c>
      <c r="K68" s="230">
        <f t="shared" si="54"/>
        <v>24.928394699984402</v>
      </c>
      <c r="L68" s="228"/>
      <c r="W68" s="456"/>
      <c r="X68" s="456"/>
      <c r="Y68" s="456"/>
      <c r="Z68" s="456"/>
      <c r="AC68" s="353"/>
      <c r="AD68" s="353"/>
      <c r="AE68" s="353"/>
      <c r="AF68" s="353"/>
      <c r="AG68" s="353"/>
    </row>
    <row r="69" spans="1:35" ht="21">
      <c r="A69" s="332" t="s">
        <v>6835</v>
      </c>
      <c r="B69" s="332" t="s">
        <v>6813</v>
      </c>
      <c r="C69" s="347">
        <v>16235</v>
      </c>
      <c r="D69" s="335">
        <v>6214</v>
      </c>
      <c r="E69" s="350" t="s">
        <v>5139</v>
      </c>
      <c r="F69" s="372">
        <v>556</v>
      </c>
      <c r="G69" s="372">
        <f t="shared" si="39"/>
        <v>180582.03069431783</v>
      </c>
      <c r="H69" s="369">
        <f t="shared" si="40"/>
        <v>29.199640287769785</v>
      </c>
      <c r="I69" s="369">
        <f t="shared" si="52"/>
        <v>22.568276055942093</v>
      </c>
      <c r="J69" s="357">
        <f t="shared" si="53"/>
        <v>0.7728956875333417</v>
      </c>
      <c r="K69" s="371">
        <f t="shared" si="54"/>
        <v>27.883565742416106</v>
      </c>
      <c r="L69" s="370"/>
      <c r="O69" t="s">
        <v>25</v>
      </c>
      <c r="X69" s="456"/>
      <c r="Y69" s="456"/>
      <c r="Z69" s="456"/>
      <c r="AA69" s="456"/>
      <c r="AB69" s="456"/>
      <c r="AE69" s="353"/>
      <c r="AF69" s="353"/>
      <c r="AG69" s="353"/>
      <c r="AH69" s="353"/>
      <c r="AI69" s="353"/>
    </row>
    <row r="70" spans="1:35" ht="21">
      <c r="A70" s="332" t="s">
        <v>6834</v>
      </c>
      <c r="B70" s="332" t="s">
        <v>6813</v>
      </c>
      <c r="C70" s="347">
        <v>16756</v>
      </c>
      <c r="D70" s="335">
        <v>31581</v>
      </c>
      <c r="E70" s="350" t="s">
        <v>5139</v>
      </c>
      <c r="F70" s="299">
        <v>560</v>
      </c>
      <c r="G70" s="299">
        <f t="shared" si="39"/>
        <v>940446.26182873116</v>
      </c>
      <c r="H70" s="227">
        <f t="shared" si="40"/>
        <v>29.921428571428571</v>
      </c>
      <c r="I70" s="227">
        <f t="shared" si="52"/>
        <v>22.568276055942093</v>
      </c>
      <c r="J70" s="28">
        <f t="shared" si="53"/>
        <v>0.75425128857290358</v>
      </c>
      <c r="K70" s="230">
        <f t="shared" si="54"/>
        <v>31.081808629332318</v>
      </c>
      <c r="L70" s="228"/>
      <c r="P70" t="s">
        <v>25</v>
      </c>
      <c r="X70" s="456"/>
      <c r="Y70" s="456"/>
      <c r="Z70" s="456"/>
      <c r="AA70" s="456"/>
      <c r="AB70" s="456"/>
      <c r="AE70" s="353"/>
      <c r="AF70" s="353"/>
      <c r="AG70" s="353"/>
      <c r="AH70" s="353"/>
      <c r="AI70" s="353"/>
    </row>
    <row r="71" spans="1:35" ht="21">
      <c r="A71" s="332" t="s">
        <v>6835</v>
      </c>
      <c r="B71" s="332" t="s">
        <v>6813</v>
      </c>
      <c r="C71" s="347">
        <v>17050</v>
      </c>
      <c r="D71" s="335">
        <v>10193</v>
      </c>
      <c r="E71" s="350" t="s">
        <v>5139</v>
      </c>
      <c r="F71" s="299">
        <v>560</v>
      </c>
      <c r="G71" s="299">
        <f t="shared" si="39"/>
        <v>308861.7748174154</v>
      </c>
      <c r="H71" s="227">
        <f t="shared" si="40"/>
        <v>30.446428571428573</v>
      </c>
      <c r="I71" s="227">
        <f t="shared" si="52"/>
        <v>22.568276055942093</v>
      </c>
      <c r="J71" s="28">
        <f t="shared" si="53"/>
        <v>0.74124543057639714</v>
      </c>
      <c r="K71" s="230">
        <f t="shared" si="54"/>
        <v>33.408082903444502</v>
      </c>
      <c r="L71" s="228"/>
      <c r="N71" t="s">
        <v>25</v>
      </c>
      <c r="O71" t="s">
        <v>25</v>
      </c>
      <c r="X71" s="456"/>
      <c r="Y71" s="456"/>
      <c r="Z71" s="456"/>
      <c r="AA71" s="456"/>
      <c r="AB71" s="456"/>
      <c r="AE71" s="353"/>
      <c r="AF71" s="353"/>
      <c r="AG71" s="353"/>
      <c r="AH71" s="353"/>
      <c r="AI71" s="353"/>
    </row>
    <row r="72" spans="1:35" ht="21" customHeight="1">
      <c r="A72" s="332" t="s">
        <v>6820</v>
      </c>
      <c r="B72" s="332" t="s">
        <v>6813</v>
      </c>
      <c r="C72" s="347">
        <v>14976</v>
      </c>
      <c r="D72" s="335">
        <v>584</v>
      </c>
      <c r="E72" s="350" t="s">
        <v>5139</v>
      </c>
      <c r="F72" s="372">
        <v>543</v>
      </c>
      <c r="G72" s="372">
        <f t="shared" si="39"/>
        <v>16030.040924111199</v>
      </c>
      <c r="H72" s="369">
        <f t="shared" si="40"/>
        <v>27.58011049723757</v>
      </c>
      <c r="I72" s="369">
        <f t="shared" si="52"/>
        <v>22.568276055942093</v>
      </c>
      <c r="J72" s="357">
        <f t="shared" ref="J72" si="55">I72/H72</f>
        <v>0.81828084257322087</v>
      </c>
      <c r="K72" s="371">
        <f t="shared" ref="K72" si="56">(1/J72-1.015)*100</f>
        <v>20.707431479800142</v>
      </c>
      <c r="L72" s="370"/>
      <c r="N72" t="s">
        <v>25</v>
      </c>
      <c r="O72" t="s">
        <v>25</v>
      </c>
      <c r="X72" s="456"/>
      <c r="Y72" s="456"/>
      <c r="Z72" s="456"/>
      <c r="AA72" s="456"/>
      <c r="AB72" s="456"/>
      <c r="AE72" s="353"/>
      <c r="AF72" s="353"/>
      <c r="AG72" s="353"/>
      <c r="AH72" s="353"/>
      <c r="AI72" s="353"/>
    </row>
    <row r="73" spans="1:35" ht="21">
      <c r="A73" s="332" t="s">
        <v>6820</v>
      </c>
      <c r="B73" s="332" t="s">
        <v>6813</v>
      </c>
      <c r="C73" s="347">
        <v>14969</v>
      </c>
      <c r="D73" s="335">
        <v>43109</v>
      </c>
      <c r="E73" s="350" t="s">
        <v>5139</v>
      </c>
      <c r="F73" s="372">
        <v>541</v>
      </c>
      <c r="G73" s="372">
        <f t="shared" si="39"/>
        <v>1187105.3276976866</v>
      </c>
      <c r="H73" s="369">
        <f t="shared" si="40"/>
        <v>27.669131238447321</v>
      </c>
      <c r="I73" s="369">
        <f t="shared" si="52"/>
        <v>22.568276055942093</v>
      </c>
      <c r="J73" s="357">
        <f t="shared" ref="J73" si="57">I73/H73</f>
        <v>0.81564816262039364</v>
      </c>
      <c r="K73" s="371">
        <f t="shared" ref="K73" si="58">(1/J73-1.015)*100</f>
        <v>21.101882261016591</v>
      </c>
      <c r="L73" s="370"/>
      <c r="N73" t="s">
        <v>25</v>
      </c>
      <c r="O73" t="s">
        <v>25</v>
      </c>
      <c r="X73" s="456"/>
      <c r="Y73" s="456"/>
      <c r="Z73" s="456"/>
      <c r="AA73" s="456"/>
      <c r="AB73" s="456"/>
      <c r="AE73" s="353"/>
      <c r="AF73" s="353"/>
      <c r="AG73" s="353"/>
      <c r="AH73" s="353"/>
      <c r="AI73" s="353"/>
    </row>
    <row r="74" spans="1:35" ht="21">
      <c r="A74" s="332" t="s">
        <v>6841</v>
      </c>
      <c r="B74" s="332" t="s">
        <v>6813</v>
      </c>
      <c r="C74" s="347">
        <v>14870</v>
      </c>
      <c r="D74" s="335">
        <v>43136</v>
      </c>
      <c r="E74" s="350" t="s">
        <v>5139</v>
      </c>
      <c r="F74" s="372">
        <v>541.11710000000005</v>
      </c>
      <c r="G74" s="372">
        <f t="shared" si="39"/>
        <v>1179737.4412215259</v>
      </c>
      <c r="H74" s="369">
        <f t="shared" si="40"/>
        <v>27.480188668959084</v>
      </c>
      <c r="I74" s="369">
        <f t="shared" si="52"/>
        <v>22.568276055942093</v>
      </c>
      <c r="J74" s="357">
        <f t="shared" ref="J74:J75" si="59">I74/H74</f>
        <v>0.82125622672433241</v>
      </c>
      <c r="K74" s="371">
        <f t="shared" ref="K74:K75" si="60">(1/J74-1.015)*100</f>
        <v>20.264677996854431</v>
      </c>
      <c r="L74" s="370"/>
      <c r="N74" t="s">
        <v>25</v>
      </c>
      <c r="X74" s="456"/>
      <c r="Y74" s="456"/>
      <c r="Z74" s="456"/>
      <c r="AA74" s="456"/>
      <c r="AB74" s="456"/>
      <c r="AE74" s="353"/>
      <c r="AF74" s="353"/>
      <c r="AG74" s="353"/>
      <c r="AH74" s="353"/>
      <c r="AI74" s="353"/>
    </row>
    <row r="75" spans="1:35" ht="21" customHeight="1">
      <c r="A75" s="332" t="s">
        <v>6841</v>
      </c>
      <c r="B75" s="332" t="s">
        <v>6813</v>
      </c>
      <c r="C75" s="347">
        <v>14920</v>
      </c>
      <c r="D75" s="335">
        <v>109651</v>
      </c>
      <c r="E75" s="350" t="s">
        <v>5139</v>
      </c>
      <c r="F75" s="372">
        <v>541.15419999999995</v>
      </c>
      <c r="G75" s="372">
        <f t="shared" si="39"/>
        <v>3008750.4525413048</v>
      </c>
      <c r="H75" s="369">
        <f t="shared" si="40"/>
        <v>27.570699811624859</v>
      </c>
      <c r="I75" s="369">
        <f t="shared" si="52"/>
        <v>22.568276055942093</v>
      </c>
      <c r="J75" s="357">
        <f t="shared" si="59"/>
        <v>0.81856014573944347</v>
      </c>
      <c r="K75" s="371">
        <f t="shared" si="60"/>
        <v>20.665732744861831</v>
      </c>
      <c r="L75" s="370"/>
      <c r="O75" t="s">
        <v>25</v>
      </c>
      <c r="X75" s="456"/>
      <c r="Y75" s="456"/>
      <c r="Z75" s="456"/>
      <c r="AA75" s="456"/>
      <c r="AB75" s="456"/>
      <c r="AE75" s="353"/>
      <c r="AF75" s="353"/>
      <c r="AG75" s="353"/>
      <c r="AH75" s="353"/>
      <c r="AI75" s="353"/>
    </row>
    <row r="76" spans="1:35" ht="21">
      <c r="A76" s="332" t="s">
        <v>6832</v>
      </c>
      <c r="B76" s="332" t="s">
        <v>6813</v>
      </c>
      <c r="C76" s="347">
        <v>15990</v>
      </c>
      <c r="D76" s="335">
        <v>1</v>
      </c>
      <c r="E76" s="349" t="s">
        <v>6833</v>
      </c>
      <c r="F76" s="335">
        <v>10912</v>
      </c>
      <c r="G76" s="335">
        <f>C76*D76*0.99885/(F76*1.00115)</f>
        <v>1.4619927827133694</v>
      </c>
      <c r="H76" s="332">
        <f t="shared" si="40"/>
        <v>1.4653592375366569</v>
      </c>
      <c r="I76" s="332">
        <f>$O$26/$O$31</f>
        <v>1.2045161290322581</v>
      </c>
      <c r="J76" s="28">
        <f t="shared" si="53"/>
        <v>0.82199374609130715</v>
      </c>
      <c r="K76" s="230">
        <f>(1/J76-1.0046)*100</f>
        <v>21.195426790670481</v>
      </c>
      <c r="L76" s="228"/>
      <c r="O76" t="s">
        <v>25</v>
      </c>
      <c r="X76" s="456"/>
      <c r="Y76" s="456"/>
      <c r="Z76" s="456"/>
      <c r="AA76" s="456"/>
      <c r="AB76" s="456"/>
      <c r="AE76" s="353"/>
      <c r="AF76" s="353"/>
      <c r="AG76" s="353"/>
      <c r="AH76" s="353"/>
      <c r="AI76" s="353"/>
    </row>
    <row r="77" spans="1:35" ht="21">
      <c r="A77" s="332"/>
      <c r="B77" s="332"/>
      <c r="C77" s="347"/>
      <c r="D77" s="335"/>
      <c r="E77" s="348"/>
      <c r="F77" s="302"/>
      <c r="G77" s="302"/>
      <c r="H77" s="225"/>
      <c r="I77" s="225"/>
      <c r="J77" s="28"/>
      <c r="K77" s="230"/>
      <c r="L77" s="228"/>
      <c r="N77" t="s">
        <v>25</v>
      </c>
      <c r="R77" t="s">
        <v>25</v>
      </c>
      <c r="X77" s="456"/>
      <c r="Y77" s="456"/>
      <c r="Z77" s="456"/>
      <c r="AA77" s="456"/>
      <c r="AB77" s="456"/>
      <c r="AE77" s="353"/>
      <c r="AF77" s="353"/>
      <c r="AG77" s="353"/>
      <c r="AH77" s="353"/>
      <c r="AI77" s="353"/>
    </row>
    <row r="78" spans="1:35" ht="21">
      <c r="A78" s="332"/>
      <c r="B78" s="332"/>
      <c r="C78" s="347"/>
      <c r="D78" s="335"/>
      <c r="E78" s="341"/>
      <c r="F78" s="341"/>
      <c r="G78" s="331"/>
      <c r="H78" s="341"/>
      <c r="I78" s="341"/>
      <c r="J78" s="341"/>
      <c r="K78" s="342"/>
      <c r="L78" s="341"/>
      <c r="X78" s="456"/>
      <c r="Y78" s="456"/>
      <c r="Z78" s="456"/>
      <c r="AA78" s="456"/>
      <c r="AB78" s="456"/>
      <c r="AE78" s="353"/>
      <c r="AF78" s="353"/>
      <c r="AG78" s="353"/>
      <c r="AH78" s="353"/>
      <c r="AI78" s="353"/>
    </row>
    <row r="79" spans="1:35" ht="21">
      <c r="A79" s="225" t="s">
        <v>6775</v>
      </c>
      <c r="B79" s="225" t="s">
        <v>4134</v>
      </c>
      <c r="C79" s="224">
        <v>1196.5446937999241</v>
      </c>
      <c r="D79" s="225">
        <v>1.0981620718462823</v>
      </c>
      <c r="E79" s="315" t="s">
        <v>4400</v>
      </c>
      <c r="F79" s="315">
        <v>785.87</v>
      </c>
      <c r="G79" s="315">
        <f>C79*D79*0.9912/(F79*1.003631981)</f>
        <v>1.6513208201489087</v>
      </c>
      <c r="H79" s="315">
        <f>C79/F79</f>
        <v>1.5225733184876939</v>
      </c>
      <c r="I79" s="315">
        <f>$O$22/$O$29</f>
        <v>1.536144578313253</v>
      </c>
      <c r="J79" s="315">
        <f>I79/H79</f>
        <v>1.0089133703190325</v>
      </c>
      <c r="K79" s="316">
        <f>(1/J79-1.0256)*100</f>
        <v>-3.4434624043305107</v>
      </c>
      <c r="L79" s="315"/>
      <c r="N79" t="s">
        <v>25</v>
      </c>
      <c r="P79" t="s">
        <v>25</v>
      </c>
      <c r="X79" s="456"/>
      <c r="Y79" s="456"/>
      <c r="Z79" s="456"/>
      <c r="AA79" s="456"/>
      <c r="AB79" s="456"/>
      <c r="AE79" s="353"/>
      <c r="AF79" s="353"/>
      <c r="AG79" s="353"/>
      <c r="AH79" s="353"/>
      <c r="AI79" s="353"/>
    </row>
    <row r="80" spans="1:35" ht="21">
      <c r="A80" s="225"/>
      <c r="B80" s="225"/>
      <c r="C80" s="224"/>
      <c r="D80" s="225"/>
      <c r="E80" s="315"/>
      <c r="F80" s="315"/>
      <c r="G80" s="315"/>
      <c r="H80" s="315"/>
      <c r="I80" s="315"/>
      <c r="J80" s="315"/>
      <c r="K80" s="316"/>
      <c r="L80" s="315"/>
      <c r="P80" t="s">
        <v>25</v>
      </c>
      <c r="V80" s="535"/>
      <c r="W80" s="456"/>
      <c r="X80" s="456"/>
      <c r="Y80" s="456"/>
      <c r="Z80" s="456"/>
      <c r="AC80" s="353"/>
      <c r="AD80" s="353"/>
      <c r="AE80" s="353"/>
      <c r="AF80" s="353"/>
      <c r="AG80" s="353"/>
    </row>
    <row r="81" spans="1:37">
      <c r="A81" s="307" t="s">
        <v>5281</v>
      </c>
      <c r="B81" s="28"/>
      <c r="C81" s="1"/>
      <c r="D81" s="28"/>
      <c r="E81" s="28"/>
      <c r="F81" s="1"/>
      <c r="G81" s="28"/>
      <c r="H81" s="28"/>
      <c r="I81" s="28"/>
      <c r="J81" s="28"/>
      <c r="K81" s="28"/>
      <c r="L81" s="28"/>
      <c r="O81" t="s">
        <v>5357</v>
      </c>
      <c r="V81" s="535"/>
      <c r="W81" s="456"/>
      <c r="X81" s="456"/>
      <c r="Y81" s="456"/>
      <c r="Z81" s="456"/>
      <c r="AC81" s="353"/>
      <c r="AD81" s="353"/>
      <c r="AE81" s="353"/>
      <c r="AF81" s="353"/>
      <c r="AG81" s="353"/>
    </row>
    <row r="82" spans="1:37" ht="15.75">
      <c r="A82" s="229" t="s">
        <v>6695</v>
      </c>
      <c r="B82" s="225" t="s">
        <v>4134</v>
      </c>
      <c r="C82" s="224">
        <v>1321.2985926207684</v>
      </c>
      <c r="D82" s="302">
        <v>19427.703263528358</v>
      </c>
      <c r="E82" s="227" t="s">
        <v>5139</v>
      </c>
      <c r="F82" s="226">
        <v>486.84610260918487</v>
      </c>
      <c r="G82" s="299">
        <f t="shared" ref="G82:G108" si="61">C82*D82*0.9912/(F82*1.003631981)</f>
        <v>52073.592214102442</v>
      </c>
      <c r="H82" s="227">
        <f t="shared" ref="H82:H108" si="62">C82/F82</f>
        <v>2.7139964468020796</v>
      </c>
      <c r="I82" s="227">
        <f t="shared" ref="I82:I108" si="63">$O$22/$O$23</f>
        <v>2.1577060931899643</v>
      </c>
      <c r="J82" s="227">
        <f>I82/H82</f>
        <v>0.79502907814503732</v>
      </c>
      <c r="K82" s="227">
        <f>(1/J82-1.0256)*100</f>
        <v>23.221562899963487</v>
      </c>
      <c r="L82" s="227"/>
      <c r="O82" t="s">
        <v>5358</v>
      </c>
      <c r="T82" t="s">
        <v>25</v>
      </c>
      <c r="V82" s="535"/>
      <c r="W82" s="456"/>
      <c r="X82" s="456"/>
      <c r="Y82" s="456"/>
      <c r="Z82" s="456"/>
      <c r="AC82" s="353"/>
      <c r="AD82" s="353"/>
      <c r="AE82" s="353"/>
      <c r="AF82" s="353"/>
      <c r="AG82" s="353"/>
    </row>
    <row r="83" spans="1:37" ht="15.75">
      <c r="A83" s="229" t="s">
        <v>6699</v>
      </c>
      <c r="B83" s="225" t="s">
        <v>4134</v>
      </c>
      <c r="C83" s="224">
        <v>1322.2092050209205</v>
      </c>
      <c r="D83" s="302">
        <v>19425.955821644486</v>
      </c>
      <c r="E83" s="227" t="s">
        <v>5139</v>
      </c>
      <c r="F83" s="226">
        <v>486.84610260918487</v>
      </c>
      <c r="G83" s="299">
        <f t="shared" si="61"/>
        <v>52104.793252817217</v>
      </c>
      <c r="H83" s="227">
        <f t="shared" si="62"/>
        <v>2.7158668785366089</v>
      </c>
      <c r="I83" s="227">
        <f t="shared" si="63"/>
        <v>2.1577060931899643</v>
      </c>
      <c r="J83" s="227">
        <f>I83/H83</f>
        <v>0.79448153745760963</v>
      </c>
      <c r="K83" s="227">
        <f>(1/J83-1.0256)*100</f>
        <v>23.30824902187938</v>
      </c>
      <c r="L83" s="227"/>
      <c r="O83" t="s">
        <v>5359</v>
      </c>
      <c r="V83" s="535"/>
      <c r="W83" s="356"/>
      <c r="X83" s="456"/>
      <c r="Y83" s="456"/>
      <c r="Z83" s="456"/>
      <c r="AC83" s="353"/>
      <c r="AD83" s="353"/>
      <c r="AE83" s="353"/>
      <c r="AF83" s="353"/>
      <c r="AG83" s="353"/>
    </row>
    <row r="84" spans="1:37" ht="15.75">
      <c r="A84" s="229" t="s">
        <v>6699</v>
      </c>
      <c r="B84" s="225" t="s">
        <v>4134</v>
      </c>
      <c r="C84" s="224">
        <v>1323.1198174210726</v>
      </c>
      <c r="D84" s="302">
        <v>19424.208379760723</v>
      </c>
      <c r="E84" s="227" t="s">
        <v>5139</v>
      </c>
      <c r="F84" s="226">
        <v>486.84610260918487</v>
      </c>
      <c r="G84" s="299">
        <f t="shared" si="61"/>
        <v>52135.987835563828</v>
      </c>
      <c r="H84" s="227">
        <f t="shared" si="62"/>
        <v>2.7177373102711382</v>
      </c>
      <c r="I84" s="227">
        <f t="shared" si="63"/>
        <v>2.1577060931899643</v>
      </c>
      <c r="J84" s="227">
        <f t="shared" ref="J84:J100" si="64">I84/H84</f>
        <v>0.79393475043940076</v>
      </c>
      <c r="K84" s="227">
        <f t="shared" ref="K84:K100" si="65">(1/J84-1.0256)*100</f>
        <v>23.394935143795248</v>
      </c>
      <c r="L84" s="227"/>
      <c r="N84" t="s">
        <v>25</v>
      </c>
      <c r="O84" t="s">
        <v>5360</v>
      </c>
      <c r="T84" t="s">
        <v>25</v>
      </c>
      <c r="W84" s="456"/>
      <c r="X84" s="456"/>
      <c r="Y84" s="456"/>
      <c r="Z84" s="456"/>
      <c r="AC84" s="353"/>
      <c r="AD84" s="353"/>
      <c r="AE84" s="353"/>
      <c r="AF84" s="353"/>
      <c r="AG84" s="353"/>
    </row>
    <row r="85" spans="1:37" ht="15.75">
      <c r="A85" s="229" t="s">
        <v>6699</v>
      </c>
      <c r="B85" s="225" t="s">
        <v>4134</v>
      </c>
      <c r="C85" s="224">
        <v>1324.0304298212247</v>
      </c>
      <c r="D85" s="302">
        <v>19422.460937876847</v>
      </c>
      <c r="E85" s="227" t="s">
        <v>5139</v>
      </c>
      <c r="F85" s="226">
        <v>486.84610260918487</v>
      </c>
      <c r="G85" s="299">
        <f t="shared" si="61"/>
        <v>52167.175962341658</v>
      </c>
      <c r="H85" s="227">
        <f t="shared" si="62"/>
        <v>2.7196077420056675</v>
      </c>
      <c r="I85" s="227">
        <f t="shared" si="63"/>
        <v>2.1577060931899643</v>
      </c>
      <c r="J85" s="227">
        <f t="shared" si="64"/>
        <v>0.7933887155353847</v>
      </c>
      <c r="K85" s="227">
        <f t="shared" si="65"/>
        <v>23.481621265711141</v>
      </c>
      <c r="L85" s="227"/>
      <c r="O85" t="s">
        <v>5361</v>
      </c>
      <c r="T85" s="535"/>
      <c r="U85" s="535"/>
      <c r="V85" s="535"/>
      <c r="AG85" s="353"/>
      <c r="AH85" s="353"/>
      <c r="AI85" s="353"/>
      <c r="AJ85" s="353"/>
      <c r="AK85" s="353"/>
    </row>
    <row r="86" spans="1:37" ht="15.75">
      <c r="A86" s="229" t="s">
        <v>6699</v>
      </c>
      <c r="B86" s="225" t="s">
        <v>4134</v>
      </c>
      <c r="C86" s="224">
        <v>1324.9410422213771</v>
      </c>
      <c r="D86" s="302">
        <v>19420.713495993088</v>
      </c>
      <c r="E86" s="227" t="s">
        <v>5139</v>
      </c>
      <c r="F86" s="226">
        <v>486.84610260918487</v>
      </c>
      <c r="G86" s="299">
        <f t="shared" si="61"/>
        <v>52198.357633151354</v>
      </c>
      <c r="H86" s="227">
        <f t="shared" si="62"/>
        <v>2.7214781737401972</v>
      </c>
      <c r="I86" s="227">
        <f t="shared" si="63"/>
        <v>2.1577060931899643</v>
      </c>
      <c r="J86" s="227">
        <f t="shared" si="64"/>
        <v>0.79284343119481038</v>
      </c>
      <c r="K86" s="227">
        <f t="shared" si="65"/>
        <v>23.568307387627073</v>
      </c>
      <c r="L86" s="227"/>
      <c r="O86" t="s">
        <v>5362</v>
      </c>
      <c r="U86" s="368"/>
      <c r="Y86" s="382"/>
      <c r="AD86" s="353"/>
      <c r="AE86" s="353"/>
      <c r="AF86" s="353"/>
      <c r="AG86" s="353"/>
    </row>
    <row r="87" spans="1:37" ht="15.75">
      <c r="A87" s="229" t="s">
        <v>6699</v>
      </c>
      <c r="B87" s="225" t="s">
        <v>4134</v>
      </c>
      <c r="C87" s="224">
        <v>1325.8516546215292</v>
      </c>
      <c r="D87" s="302">
        <v>19418.966054109322</v>
      </c>
      <c r="E87" s="227" t="s">
        <v>5139</v>
      </c>
      <c r="F87" s="226">
        <v>486.84610260918487</v>
      </c>
      <c r="G87" s="299">
        <f t="shared" si="61"/>
        <v>52229.532847992545</v>
      </c>
      <c r="H87" s="227">
        <f t="shared" si="62"/>
        <v>2.7233486054747265</v>
      </c>
      <c r="I87" s="227">
        <f t="shared" si="63"/>
        <v>2.1577060931899643</v>
      </c>
      <c r="J87" s="227">
        <f t="shared" si="64"/>
        <v>0.79229889587118763</v>
      </c>
      <c r="K87" s="227">
        <f t="shared" si="65"/>
        <v>23.654993509542944</v>
      </c>
      <c r="L87" s="227"/>
      <c r="T87" t="s">
        <v>25</v>
      </c>
      <c r="U87" s="513"/>
      <c r="Y87" s="382"/>
      <c r="Z87" s="382"/>
      <c r="AA87" s="382"/>
      <c r="AB87" s="382"/>
      <c r="AC87" s="382"/>
      <c r="AD87" s="353"/>
      <c r="AE87" s="353"/>
      <c r="AF87" s="353"/>
      <c r="AG87" s="353"/>
      <c r="AK87" s="353"/>
    </row>
    <row r="88" spans="1:37" ht="15.75">
      <c r="A88" s="229" t="s">
        <v>6699</v>
      </c>
      <c r="B88" s="225" t="s">
        <v>4134</v>
      </c>
      <c r="C88" s="224">
        <v>1326.7622670216813</v>
      </c>
      <c r="D88" s="302">
        <v>19417.21861222545</v>
      </c>
      <c r="E88" s="227" t="s">
        <v>5139</v>
      </c>
      <c r="F88" s="226">
        <v>486.84610260918487</v>
      </c>
      <c r="G88" s="299">
        <f t="shared" si="61"/>
        <v>52260.701606864997</v>
      </c>
      <c r="H88" s="227">
        <f t="shared" si="62"/>
        <v>2.7252190372092557</v>
      </c>
      <c r="I88" s="227">
        <f t="shared" si="63"/>
        <v>2.1577060931899643</v>
      </c>
      <c r="J88" s="227">
        <f t="shared" si="64"/>
        <v>0.79175510802227123</v>
      </c>
      <c r="K88" s="227">
        <f t="shared" si="65"/>
        <v>23.741679631458858</v>
      </c>
      <c r="L88" s="227"/>
      <c r="O88" t="s">
        <v>25</v>
      </c>
      <c r="U88" s="513"/>
      <c r="Y88" s="382"/>
      <c r="Z88" s="382"/>
      <c r="AA88" s="382"/>
      <c r="AB88" s="382"/>
      <c r="AC88" s="382"/>
      <c r="AD88" s="353"/>
      <c r="AE88" s="353"/>
      <c r="AF88" s="353"/>
      <c r="AG88" s="353"/>
      <c r="AK88" s="368"/>
    </row>
    <row r="89" spans="1:37" ht="15.75">
      <c r="A89" s="229" t="s">
        <v>6699</v>
      </c>
      <c r="B89" s="225" t="s">
        <v>4134</v>
      </c>
      <c r="C89" s="224">
        <v>1327.6728794218334</v>
      </c>
      <c r="D89" s="302">
        <v>19415.471170341687</v>
      </c>
      <c r="E89" s="227" t="s">
        <v>5139</v>
      </c>
      <c r="F89" s="226">
        <v>486.84610260918487</v>
      </c>
      <c r="G89" s="299">
        <f t="shared" si="61"/>
        <v>52291.863909769265</v>
      </c>
      <c r="H89" s="227">
        <f t="shared" si="62"/>
        <v>2.727089468943785</v>
      </c>
      <c r="I89" s="227">
        <f t="shared" si="63"/>
        <v>2.1577060931899643</v>
      </c>
      <c r="J89" s="227">
        <f t="shared" si="64"/>
        <v>0.79121206611004746</v>
      </c>
      <c r="K89" s="227">
        <f t="shared" si="65"/>
        <v>23.828365753374747</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1339.5108406238114</v>
      </c>
      <c r="D90" s="302">
        <v>19415.316517360377</v>
      </c>
      <c r="E90" s="227" t="s">
        <v>5139</v>
      </c>
      <c r="F90" s="226">
        <v>491.15716618608906</v>
      </c>
      <c r="G90" s="299">
        <f t="shared" si="61"/>
        <v>52294.621540621032</v>
      </c>
      <c r="H90" s="227">
        <f t="shared" si="62"/>
        <v>2.7272550068348167</v>
      </c>
      <c r="I90" s="227">
        <f t="shared" si="63"/>
        <v>2.1577060931899643</v>
      </c>
      <c r="J90" s="227">
        <f t="shared" si="64"/>
        <v>0.79116404141985375</v>
      </c>
      <c r="K90" s="227">
        <f t="shared" si="65"/>
        <v>23.836037692178369</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1328.5834918219855</v>
      </c>
      <c r="D91" s="302">
        <v>19413.723728457924</v>
      </c>
      <c r="E91" s="227" t="s">
        <v>5139</v>
      </c>
      <c r="F91" s="226">
        <v>486.84610260918487</v>
      </c>
      <c r="G91" s="299">
        <f t="shared" si="61"/>
        <v>52323.019756705064</v>
      </c>
      <c r="H91" s="227">
        <f t="shared" si="62"/>
        <v>2.7289599006783143</v>
      </c>
      <c r="I91" s="227">
        <f t="shared" si="63"/>
        <v>2.1577060931899643</v>
      </c>
      <c r="J91" s="227">
        <f t="shared" si="64"/>
        <v>0.79066976860071914</v>
      </c>
      <c r="K91" s="227">
        <f t="shared" si="65"/>
        <v>23.915051875290636</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1340.4214530239635</v>
      </c>
      <c r="D92" s="302">
        <v>19413.584413404144</v>
      </c>
      <c r="E92" s="227" t="s">
        <v>5139</v>
      </c>
      <c r="F92" s="226">
        <v>491.15716618608906</v>
      </c>
      <c r="G92" s="299">
        <f t="shared" si="61"/>
        <v>52325.503383182368</v>
      </c>
      <c r="H92" s="227">
        <f t="shared" si="62"/>
        <v>2.7291090211154656</v>
      </c>
      <c r="I92" s="227">
        <f t="shared" si="63"/>
        <v>2.1577060931899643</v>
      </c>
      <c r="J92" s="227">
        <f t="shared" si="64"/>
        <v>0.79062656584823698</v>
      </c>
      <c r="K92" s="227">
        <f t="shared" si="65"/>
        <v>23.921962938740005</v>
      </c>
      <c r="L92" s="227"/>
      <c r="M92" t="s">
        <v>25</v>
      </c>
      <c r="O92" t="s">
        <v>25</v>
      </c>
      <c r="Y92" s="382"/>
      <c r="Z92" s="382"/>
      <c r="AA92" s="382"/>
      <c r="AB92" s="382"/>
      <c r="AC92" s="382"/>
      <c r="AD92" s="353"/>
      <c r="AE92" s="353"/>
      <c r="AF92" s="353"/>
      <c r="AG92" s="353"/>
    </row>
    <row r="93" spans="1:37" ht="15.75">
      <c r="A93" s="229" t="s">
        <v>6699</v>
      </c>
      <c r="B93" s="225" t="s">
        <v>4134</v>
      </c>
      <c r="C93" s="224">
        <v>1329.4941042221378</v>
      </c>
      <c r="D93" s="302">
        <v>19411.976286574052</v>
      </c>
      <c r="E93" s="227" t="s">
        <v>5139</v>
      </c>
      <c r="F93" s="226">
        <v>486.84610260918487</v>
      </c>
      <c r="G93" s="299">
        <f t="shared" si="61"/>
        <v>52354.169147672117</v>
      </c>
      <c r="H93" s="227">
        <f t="shared" si="62"/>
        <v>2.730830332412844</v>
      </c>
      <c r="I93" s="227">
        <f t="shared" si="63"/>
        <v>2.1577060931899643</v>
      </c>
      <c r="J93" s="227">
        <f t="shared" si="64"/>
        <v>0.79012821396469113</v>
      </c>
      <c r="K93" s="227">
        <f t="shared" si="65"/>
        <v>24.001737997206551</v>
      </c>
      <c r="L93" s="227"/>
      <c r="O93" t="s">
        <v>25</v>
      </c>
      <c r="W93" t="s">
        <v>25</v>
      </c>
      <c r="Y93" s="382"/>
      <c r="Z93" s="382"/>
      <c r="AA93" s="382"/>
      <c r="AB93" s="382"/>
      <c r="AC93" s="382"/>
      <c r="AD93" s="353"/>
      <c r="AE93" s="353"/>
      <c r="AF93" s="353"/>
      <c r="AG93" s="353"/>
    </row>
    <row r="94" spans="1:37" ht="15.75">
      <c r="A94" s="229" t="s">
        <v>6699</v>
      </c>
      <c r="B94" s="225" t="s">
        <v>4134</v>
      </c>
      <c r="C94" s="224">
        <v>1341.3320654241156</v>
      </c>
      <c r="D94" s="302">
        <v>19411.852309447906</v>
      </c>
      <c r="E94" s="227" t="s">
        <v>5139</v>
      </c>
      <c r="F94" s="226">
        <v>491.15716618608906</v>
      </c>
      <c r="G94" s="299">
        <f t="shared" si="61"/>
        <v>52356.378882610574</v>
      </c>
      <c r="H94" s="227">
        <f t="shared" si="62"/>
        <v>2.7309630353961145</v>
      </c>
      <c r="I94" s="227">
        <f t="shared" si="63"/>
        <v>2.1577060931899643</v>
      </c>
      <c r="J94" s="227">
        <f t="shared" si="64"/>
        <v>0.79008982004657502</v>
      </c>
      <c r="K94" s="227">
        <f t="shared" si="65"/>
        <v>24.007888185301638</v>
      </c>
      <c r="L94" s="227"/>
      <c r="V94" s="382"/>
      <c r="W94" s="380"/>
      <c r="Y94" s="382"/>
      <c r="Z94" s="382"/>
      <c r="AA94" s="382"/>
      <c r="AB94" s="382"/>
      <c r="AC94" s="382"/>
    </row>
    <row r="95" spans="1:37" ht="15.75">
      <c r="A95" s="229" t="s">
        <v>6699</v>
      </c>
      <c r="B95" s="225" t="s">
        <v>4134</v>
      </c>
      <c r="C95" s="224">
        <v>1330.4047166222899</v>
      </c>
      <c r="D95" s="302">
        <v>19410.228844690289</v>
      </c>
      <c r="E95" s="227" t="s">
        <v>5139</v>
      </c>
      <c r="F95" s="226">
        <v>486.84610260918487</v>
      </c>
      <c r="G95" s="299">
        <f t="shared" si="61"/>
        <v>52385.312082670993</v>
      </c>
      <c r="H95" s="227">
        <f t="shared" si="62"/>
        <v>2.7327007641473733</v>
      </c>
      <c r="I95" s="227">
        <f t="shared" si="63"/>
        <v>2.1577060931899643</v>
      </c>
      <c r="J95" s="227">
        <f t="shared" si="64"/>
        <v>0.78958740067655653</v>
      </c>
      <c r="K95" s="227">
        <f t="shared" si="65"/>
        <v>24.088424119122443</v>
      </c>
      <c r="L95" s="227"/>
      <c r="M95" t="s">
        <v>25</v>
      </c>
      <c r="T95" s="545"/>
      <c r="U95" s="545"/>
      <c r="V95" s="545"/>
      <c r="W95" s="545"/>
      <c r="Y95" s="382"/>
      <c r="Z95" s="382"/>
      <c r="AA95" s="382"/>
      <c r="AB95" s="382"/>
      <c r="AC95" s="382"/>
    </row>
    <row r="96" spans="1:37" ht="15.75">
      <c r="A96" s="229" t="s">
        <v>6699</v>
      </c>
      <c r="B96" s="225" t="s">
        <v>4134</v>
      </c>
      <c r="C96" s="224">
        <v>1331.315329022442</v>
      </c>
      <c r="D96" s="302">
        <v>19408.481402806523</v>
      </c>
      <c r="E96" s="227" t="s">
        <v>5139</v>
      </c>
      <c r="F96" s="226">
        <v>486.84610260918487</v>
      </c>
      <c r="G96" s="299">
        <f t="shared" si="61"/>
        <v>52416.448561701378</v>
      </c>
      <c r="H96" s="227">
        <f t="shared" si="62"/>
        <v>2.7345711958819026</v>
      </c>
      <c r="I96" s="227">
        <f t="shared" si="63"/>
        <v>2.1577060931899643</v>
      </c>
      <c r="J96" s="227">
        <f t="shared" si="64"/>
        <v>0.78904732721508153</v>
      </c>
      <c r="K96" s="227">
        <f t="shared" si="65"/>
        <v>24.175110241038311</v>
      </c>
      <c r="L96" s="227"/>
      <c r="M96" t="s">
        <v>25</v>
      </c>
      <c r="T96" s="545"/>
      <c r="U96" s="545"/>
      <c r="V96" s="545"/>
      <c r="W96" s="545"/>
      <c r="X96" s="330"/>
      <c r="Y96" s="382"/>
      <c r="Z96" s="382"/>
      <c r="AA96" s="382"/>
      <c r="AB96" s="382"/>
      <c r="AC96" s="382"/>
      <c r="AE96" t="s">
        <v>25</v>
      </c>
    </row>
    <row r="97" spans="1:29" ht="15.75">
      <c r="A97" s="229" t="s">
        <v>6699</v>
      </c>
      <c r="B97" s="225" t="s">
        <v>4134</v>
      </c>
      <c r="C97" s="224">
        <v>1342.2426778242677</v>
      </c>
      <c r="D97" s="302">
        <v>19410.120205491785</v>
      </c>
      <c r="E97" s="227" t="s">
        <v>5139</v>
      </c>
      <c r="F97" s="226">
        <v>491.15716618608906</v>
      </c>
      <c r="G97" s="299">
        <f t="shared" si="61"/>
        <v>52387.248038905978</v>
      </c>
      <c r="H97" s="227">
        <f t="shared" si="62"/>
        <v>2.7328170496767634</v>
      </c>
      <c r="I97" s="227">
        <f t="shared" si="63"/>
        <v>2.1577060931899643</v>
      </c>
      <c r="J97" s="227">
        <f t="shared" si="64"/>
        <v>0.78955380252958274</v>
      </c>
      <c r="K97" s="227">
        <f t="shared" si="65"/>
        <v>24.093813431863275</v>
      </c>
      <c r="L97" s="227"/>
      <c r="N97" t="s">
        <v>25</v>
      </c>
      <c r="T97" s="382" t="s">
        <v>25</v>
      </c>
      <c r="U97" s="368"/>
      <c r="V97" s="382" t="s">
        <v>25</v>
      </c>
      <c r="W97" s="380"/>
      <c r="X97" s="338"/>
      <c r="Y97" s="382"/>
      <c r="Z97" s="382"/>
      <c r="AA97" s="382"/>
      <c r="AB97" s="382"/>
      <c r="AC97" s="382"/>
    </row>
    <row r="98" spans="1:29" ht="15.75">
      <c r="A98" s="229" t="s">
        <v>6699</v>
      </c>
      <c r="B98" s="225" t="s">
        <v>4134</v>
      </c>
      <c r="C98" s="224">
        <v>1332.2259414225941</v>
      </c>
      <c r="D98" s="302">
        <v>19406.733960922651</v>
      </c>
      <c r="E98" s="227" t="s">
        <v>5139</v>
      </c>
      <c r="F98" s="226">
        <v>486.84610260918487</v>
      </c>
      <c r="G98" s="299">
        <f t="shared" si="61"/>
        <v>52447.578584763025</v>
      </c>
      <c r="H98" s="227">
        <f t="shared" si="62"/>
        <v>2.7364416276164318</v>
      </c>
      <c r="I98" s="227">
        <f t="shared" si="63"/>
        <v>2.1577060931899643</v>
      </c>
      <c r="J98" s="227">
        <f t="shared" si="64"/>
        <v>0.78850799206319155</v>
      </c>
      <c r="K98" s="227">
        <f t="shared" si="65"/>
        <v>24.2617963629542</v>
      </c>
      <c r="L98" s="227"/>
      <c r="O98" t="s">
        <v>25</v>
      </c>
      <c r="T98" s="456" t="s">
        <v>25</v>
      </c>
      <c r="U98" s="382"/>
      <c r="V98" s="382"/>
      <c r="W98" s="380"/>
      <c r="X98" s="338"/>
      <c r="Y98" s="382"/>
      <c r="Z98" s="382"/>
      <c r="AA98" s="382"/>
      <c r="AB98" s="382"/>
      <c r="AC98" s="382"/>
    </row>
    <row r="99" spans="1:29" ht="15.75">
      <c r="A99" s="229" t="s">
        <v>6699</v>
      </c>
      <c r="B99" s="225" t="s">
        <v>4134</v>
      </c>
      <c r="C99" s="224">
        <v>1343.1532902244201</v>
      </c>
      <c r="D99" s="302">
        <v>19408.388101535551</v>
      </c>
      <c r="E99" s="227" t="s">
        <v>5139</v>
      </c>
      <c r="F99" s="226">
        <v>491.15716618608906</v>
      </c>
      <c r="G99" s="299">
        <f t="shared" si="61"/>
        <v>52418.110852067955</v>
      </c>
      <c r="H99" s="227">
        <f t="shared" si="62"/>
        <v>2.7346710639574128</v>
      </c>
      <c r="I99" s="227">
        <f t="shared" si="63"/>
        <v>2.1577060931899643</v>
      </c>
      <c r="J99" s="227">
        <f t="shared" si="64"/>
        <v>0.78901851181600335</v>
      </c>
      <c r="K99" s="227">
        <f t="shared" si="65"/>
        <v>24.179738678424933</v>
      </c>
      <c r="L99" s="227"/>
      <c r="T99" s="456" t="s">
        <v>25</v>
      </c>
      <c r="U99" s="382" t="s">
        <v>25</v>
      </c>
      <c r="V99" s="382"/>
      <c r="W99" s="380"/>
      <c r="X99" s="338"/>
      <c r="Y99" s="382"/>
      <c r="Z99" s="382"/>
      <c r="AA99" s="382"/>
      <c r="AB99" s="382"/>
      <c r="AC99" s="382"/>
    </row>
    <row r="100" spans="1:29" ht="15.75">
      <c r="A100" s="229" t="s">
        <v>6699</v>
      </c>
      <c r="B100" s="225" t="s">
        <v>4134</v>
      </c>
      <c r="C100" s="224">
        <v>1333.1365538227462</v>
      </c>
      <c r="D100" s="302">
        <v>19404.986519038888</v>
      </c>
      <c r="E100" s="227" t="s">
        <v>5139</v>
      </c>
      <c r="F100" s="226">
        <v>486.84610260918487</v>
      </c>
      <c r="G100" s="299">
        <f t="shared" si="61"/>
        <v>52478.702151856487</v>
      </c>
      <c r="H100" s="227">
        <f t="shared" si="62"/>
        <v>2.7383120593509611</v>
      </c>
      <c r="I100" s="227">
        <f t="shared" si="63"/>
        <v>2.1577060931899643</v>
      </c>
      <c r="J100" s="227">
        <f t="shared" si="64"/>
        <v>0.78796939370795716</v>
      </c>
      <c r="K100" s="227">
        <f t="shared" si="65"/>
        <v>24.348482484870093</v>
      </c>
      <c r="L100" s="227"/>
      <c r="T100" s="456" t="s">
        <v>25</v>
      </c>
      <c r="U100" s="382"/>
      <c r="V100" s="382"/>
      <c r="X100" s="338"/>
      <c r="Y100" s="382"/>
      <c r="Z100" s="382"/>
      <c r="AA100" s="382"/>
      <c r="AB100" s="382"/>
      <c r="AC100" s="382"/>
    </row>
    <row r="101" spans="1:29" ht="15.75">
      <c r="A101" s="229" t="s">
        <v>6699</v>
      </c>
      <c r="B101" s="225" t="s">
        <v>4134</v>
      </c>
      <c r="C101" s="224">
        <v>1334.0471662228986</v>
      </c>
      <c r="D101" s="302">
        <v>15590.134724310776</v>
      </c>
      <c r="E101" s="227" t="s">
        <v>5139</v>
      </c>
      <c r="F101" s="226">
        <v>486.84610260918487</v>
      </c>
      <c r="G101" s="299">
        <f t="shared" si="61"/>
        <v>42190.644222022223</v>
      </c>
      <c r="H101" s="227">
        <f t="shared" si="62"/>
        <v>2.7401824910854908</v>
      </c>
      <c r="I101" s="227">
        <f t="shared" si="63"/>
        <v>2.1577060931899643</v>
      </c>
      <c r="J101" s="227">
        <f>I101/H101</f>
        <v>0.78743153064057958</v>
      </c>
      <c r="K101" s="227">
        <f>(1/J101-1.0256)*100</f>
        <v>24.435168606786029</v>
      </c>
      <c r="L101" s="227"/>
      <c r="N101" t="s">
        <v>25</v>
      </c>
      <c r="T101" s="382" t="s">
        <v>25</v>
      </c>
      <c r="U101" s="382"/>
      <c r="Y101" s="382"/>
      <c r="Z101" s="382"/>
      <c r="AA101" s="382"/>
      <c r="AB101" s="382"/>
      <c r="AC101" s="382"/>
    </row>
    <row r="102" spans="1:29" ht="15.75">
      <c r="A102" s="229" t="s">
        <v>6710</v>
      </c>
      <c r="B102" s="225" t="s">
        <v>4134</v>
      </c>
      <c r="C102" s="224">
        <v>1331.315329022442</v>
      </c>
      <c r="D102" s="302">
        <v>31119.520462564746</v>
      </c>
      <c r="E102" s="227" t="s">
        <v>5139</v>
      </c>
      <c r="F102" s="226">
        <v>480</v>
      </c>
      <c r="G102" s="299">
        <f t="shared" si="61"/>
        <v>85243.130965768403</v>
      </c>
      <c r="H102" s="227">
        <f t="shared" si="62"/>
        <v>2.7735736021300874</v>
      </c>
      <c r="I102" s="227">
        <f t="shared" si="63"/>
        <v>2.1577060931899643</v>
      </c>
      <c r="J102" s="227">
        <f>I102/H102</f>
        <v>0.77795162584935884</v>
      </c>
      <c r="K102" s="227">
        <f>(1/J102-1.0256)*100</f>
        <v>25.982696842906037</v>
      </c>
      <c r="L102" s="227"/>
      <c r="N102" t="s">
        <v>25</v>
      </c>
      <c r="T102" s="382" t="s">
        <v>25</v>
      </c>
      <c r="U102" s="382"/>
      <c r="Y102" s="382"/>
      <c r="Z102" s="382"/>
      <c r="AA102" s="382"/>
      <c r="AB102" s="382"/>
      <c r="AC102" s="382"/>
    </row>
    <row r="103" spans="1:29" ht="15.75">
      <c r="A103" s="229" t="s">
        <v>6718</v>
      </c>
      <c r="B103" s="225" t="s">
        <v>4134</v>
      </c>
      <c r="C103" s="224">
        <v>1282.1422594142259</v>
      </c>
      <c r="D103" s="302">
        <v>10981.620718462824</v>
      </c>
      <c r="E103" s="227" t="s">
        <v>5139</v>
      </c>
      <c r="F103" s="226">
        <v>460.7</v>
      </c>
      <c r="G103" s="299">
        <f t="shared" si="61"/>
        <v>30183.614406606379</v>
      </c>
      <c r="H103" s="227">
        <f t="shared" si="62"/>
        <v>2.7830307345652829</v>
      </c>
      <c r="I103" s="227">
        <f t="shared" si="63"/>
        <v>2.1577060931899643</v>
      </c>
      <c r="J103" s="227">
        <f>I103/H103</f>
        <v>0.77530803608857879</v>
      </c>
      <c r="K103" s="227">
        <f>(1/J103-1.0256)*100</f>
        <v>26.420992515567086</v>
      </c>
      <c r="L103" s="227"/>
      <c r="T103" s="382"/>
      <c r="Y103" s="382"/>
      <c r="Z103" s="382"/>
      <c r="AA103" s="382"/>
      <c r="AB103" s="382"/>
      <c r="AC103" s="382"/>
    </row>
    <row r="104" spans="1:29" ht="15.75">
      <c r="A104" s="229" t="s">
        <v>6718</v>
      </c>
      <c r="B104" s="225" t="s">
        <v>4134</v>
      </c>
      <c r="C104" s="224">
        <v>1290.3377710155953</v>
      </c>
      <c r="D104" s="302">
        <v>10981.620718462824</v>
      </c>
      <c r="E104" s="227" t="s">
        <v>5139</v>
      </c>
      <c r="F104" s="226">
        <v>460.7</v>
      </c>
      <c r="G104" s="299">
        <f t="shared" si="61"/>
        <v>30376.549441875883</v>
      </c>
      <c r="H104" s="227">
        <f t="shared" si="62"/>
        <v>2.8008199935220217</v>
      </c>
      <c r="I104" s="227">
        <f t="shared" si="63"/>
        <v>2.1577060931899643</v>
      </c>
      <c r="J104" s="227">
        <f t="shared" ref="J104:J110" si="66">I104/H104</f>
        <v>0.77038370840699988</v>
      </c>
      <c r="K104" s="227">
        <f t="shared" ref="K104:K110" si="67">(1/J104-1.0256)*100</f>
        <v>27.24544488249898</v>
      </c>
      <c r="L104" s="227"/>
      <c r="M104" t="s">
        <v>25</v>
      </c>
      <c r="O104" t="s">
        <v>25</v>
      </c>
      <c r="T104" t="s">
        <v>25</v>
      </c>
      <c r="W104" s="380"/>
      <c r="X104" s="330"/>
      <c r="Y104" s="382"/>
      <c r="Z104" s="382"/>
      <c r="AA104" s="382"/>
      <c r="AB104" s="382"/>
      <c r="AC104" s="382"/>
    </row>
    <row r="105" spans="1:29" ht="15.75">
      <c r="A105" s="229" t="s">
        <v>6719</v>
      </c>
      <c r="B105" s="225" t="s">
        <v>4134</v>
      </c>
      <c r="C105" s="224">
        <v>1298.5332826169647</v>
      </c>
      <c r="D105" s="302">
        <v>29113.37468671679</v>
      </c>
      <c r="E105" s="227" t="s">
        <v>5139</v>
      </c>
      <c r="F105" s="226">
        <v>460.6</v>
      </c>
      <c r="G105" s="299">
        <f t="shared" si="61"/>
        <v>81060.355338675217</v>
      </c>
      <c r="H105" s="227">
        <f t="shared" si="62"/>
        <v>2.8192211954341393</v>
      </c>
      <c r="I105" s="227">
        <f t="shared" si="63"/>
        <v>2.1577060931899643</v>
      </c>
      <c r="J105" s="227">
        <f t="shared" si="66"/>
        <v>0.76535537427303335</v>
      </c>
      <c r="K105" s="227">
        <f t="shared" si="67"/>
        <v>28.098258060818072</v>
      </c>
      <c r="L105" s="227"/>
      <c r="V105" s="380"/>
      <c r="W105" s="380"/>
      <c r="X105" s="330"/>
      <c r="Y105" s="382"/>
      <c r="Z105" s="382"/>
      <c r="AA105" s="382"/>
      <c r="AB105" s="382"/>
      <c r="AC105" s="382"/>
    </row>
    <row r="106" spans="1:29" ht="15.75">
      <c r="A106" s="229" t="s">
        <v>6719</v>
      </c>
      <c r="B106" s="225" t="s">
        <v>4134</v>
      </c>
      <c r="C106" s="224">
        <v>1303.9969570178775</v>
      </c>
      <c r="D106" s="302">
        <v>5337.0676691729323</v>
      </c>
      <c r="E106" s="227" t="s">
        <v>5139</v>
      </c>
      <c r="F106" s="226">
        <v>460.1</v>
      </c>
      <c r="G106" s="299">
        <f t="shared" si="61"/>
        <v>14938.736108785723</v>
      </c>
      <c r="H106" s="227">
        <f t="shared" si="62"/>
        <v>2.8341598718058627</v>
      </c>
      <c r="I106" s="227">
        <f t="shared" si="63"/>
        <v>2.1577060931899643</v>
      </c>
      <c r="J106" s="227">
        <f t="shared" si="66"/>
        <v>0.76132123478804414</v>
      </c>
      <c r="K106" s="227">
        <f t="shared" si="67"/>
        <v>28.790598709939474</v>
      </c>
      <c r="L106" s="227"/>
      <c r="T106" t="s">
        <v>25</v>
      </c>
      <c r="U106" s="35"/>
      <c r="V106" s="380"/>
      <c r="Y106" s="382"/>
      <c r="Z106" s="382"/>
      <c r="AA106" s="382"/>
      <c r="AB106" s="382"/>
      <c r="AC106" s="382"/>
    </row>
    <row r="107" spans="1:29" ht="15.75">
      <c r="A107" s="229" t="s">
        <v>6721</v>
      </c>
      <c r="B107" s="225" t="s">
        <v>4134</v>
      </c>
      <c r="C107" s="224">
        <v>1273.0361354127044</v>
      </c>
      <c r="D107" s="302">
        <v>10981.620718462824</v>
      </c>
      <c r="E107" s="227" t="s">
        <v>5139</v>
      </c>
      <c r="F107" s="226">
        <v>444</v>
      </c>
      <c r="G107" s="299">
        <f t="shared" si="61"/>
        <v>31096.463640296653</v>
      </c>
      <c r="H107" s="227">
        <f t="shared" si="62"/>
        <v>2.8671985031817666</v>
      </c>
      <c r="I107" s="227">
        <f t="shared" si="63"/>
        <v>2.1577060931899643</v>
      </c>
      <c r="J107" s="227">
        <f>I107/H107</f>
        <v>0.75254855594948533</v>
      </c>
      <c r="K107" s="227">
        <f>(1/J107-1.0256)*100</f>
        <v>30.321791094304462</v>
      </c>
      <c r="L107" s="227"/>
      <c r="T107" s="25" t="s">
        <v>25</v>
      </c>
      <c r="U107" s="380"/>
      <c r="W107" s="336"/>
      <c r="Y107" s="382"/>
      <c r="Z107" s="382"/>
      <c r="AA107" s="382"/>
      <c r="AB107" s="382"/>
      <c r="AC107" s="382"/>
    </row>
    <row r="108" spans="1:29" ht="15.75">
      <c r="A108" s="229" t="s">
        <v>6721</v>
      </c>
      <c r="B108" s="225" t="s">
        <v>4134</v>
      </c>
      <c r="C108" s="224">
        <v>1273.0361354127044</v>
      </c>
      <c r="D108" s="302">
        <v>13177.944862155387</v>
      </c>
      <c r="E108" s="227" t="s">
        <v>5139</v>
      </c>
      <c r="F108" s="226">
        <v>442.97</v>
      </c>
      <c r="G108" s="299">
        <f t="shared" si="61"/>
        <v>37402.523483644611</v>
      </c>
      <c r="H108" s="227">
        <f t="shared" si="62"/>
        <v>2.8738653529871194</v>
      </c>
      <c r="I108" s="227">
        <f t="shared" si="63"/>
        <v>2.1577060931899643</v>
      </c>
      <c r="J108" s="227">
        <f>I108/H108</f>
        <v>0.75080277889401703</v>
      </c>
      <c r="K108" s="227">
        <f>(1/J108-1.0256)*100</f>
        <v>30.630769681628923</v>
      </c>
      <c r="L108" s="227"/>
      <c r="N108" t="s">
        <v>25</v>
      </c>
      <c r="T108" s="25"/>
      <c r="U108" s="380"/>
      <c r="V108" s="368"/>
      <c r="W108" s="336"/>
      <c r="Y108" s="382"/>
      <c r="Z108" s="382"/>
      <c r="AA108" s="382"/>
      <c r="AB108" s="382"/>
      <c r="AC108" s="382"/>
    </row>
    <row r="109" spans="1:29" ht="15.75">
      <c r="A109" s="229"/>
      <c r="B109" s="225"/>
      <c r="C109" s="224"/>
      <c r="D109" s="302"/>
      <c r="E109" s="227"/>
      <c r="F109" s="226"/>
      <c r="G109" s="299"/>
      <c r="H109" s="227"/>
      <c r="I109" s="227"/>
      <c r="J109" s="227"/>
      <c r="K109" s="227"/>
      <c r="L109" s="227"/>
      <c r="T109" s="368" t="s">
        <v>25</v>
      </c>
      <c r="V109" s="368"/>
      <c r="W109" s="336"/>
      <c r="Y109" s="382"/>
      <c r="Z109" s="382"/>
      <c r="AA109" s="382"/>
      <c r="AB109" s="382"/>
      <c r="AC109" s="382"/>
    </row>
    <row r="110" spans="1:29" ht="15.75">
      <c r="A110" s="229"/>
      <c r="B110" s="225"/>
      <c r="C110" s="224"/>
      <c r="D110" s="302"/>
      <c r="E110" s="227"/>
      <c r="F110" s="226"/>
      <c r="G110" s="299"/>
      <c r="H110" s="227"/>
      <c r="I110" s="227">
        <f>$O$22/$O$23</f>
        <v>2.1577060931899643</v>
      </c>
      <c r="J110" s="227" t="e">
        <f t="shared" si="66"/>
        <v>#DIV/0!</v>
      </c>
      <c r="K110" s="227" t="e">
        <f t="shared" si="67"/>
        <v>#DIV/0!</v>
      </c>
      <c r="L110" s="227"/>
      <c r="T110" s="368" t="s">
        <v>25</v>
      </c>
      <c r="U110" s="368" t="s">
        <v>25</v>
      </c>
      <c r="V110" s="368"/>
      <c r="X110" s="196"/>
      <c r="Y110" s="382"/>
      <c r="Z110" s="382"/>
      <c r="AA110" s="382"/>
      <c r="AB110" s="382"/>
      <c r="AC110" s="382"/>
    </row>
    <row r="111" spans="1:29">
      <c r="T111" s="368" t="s">
        <v>25</v>
      </c>
      <c r="U111" s="368"/>
      <c r="V111" s="368"/>
      <c r="Y111" s="382"/>
      <c r="Z111" s="382"/>
      <c r="AA111" s="382"/>
      <c r="AB111" s="382"/>
      <c r="AC111" s="382"/>
    </row>
    <row r="112" spans="1:29">
      <c r="O112" t="s">
        <v>25</v>
      </c>
      <c r="T112" s="368" t="s">
        <v>25</v>
      </c>
      <c r="U112" s="368"/>
      <c r="V112" s="368"/>
      <c r="Y112" s="382"/>
      <c r="Z112" s="382"/>
      <c r="AA112" s="382"/>
      <c r="AB112" s="382"/>
      <c r="AC112" s="382"/>
    </row>
    <row r="113" spans="10:35">
      <c r="O113" t="s">
        <v>25</v>
      </c>
      <c r="T113" s="368"/>
      <c r="U113" s="368"/>
      <c r="V113" s="368"/>
      <c r="Y113" s="382"/>
      <c r="Z113" s="382"/>
      <c r="AA113" s="382"/>
      <c r="AB113" s="382"/>
      <c r="AC113" s="382"/>
    </row>
    <row r="114" spans="10:35">
      <c r="T114" s="368"/>
      <c r="U114" s="368"/>
      <c r="V114" s="368"/>
      <c r="Y114" s="382"/>
      <c r="Z114" s="382"/>
      <c r="AA114" s="382"/>
      <c r="AB114" s="382"/>
      <c r="AC114" s="382"/>
    </row>
    <row r="115" spans="10:35" ht="27" customHeight="1">
      <c r="N115" t="s">
        <v>25</v>
      </c>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T117" s="368"/>
      <c r="U117" s="368"/>
      <c r="Y117" s="382"/>
      <c r="Z117" s="382"/>
      <c r="AA117" s="382"/>
      <c r="AB117" s="382"/>
      <c r="AC117" s="382"/>
      <c r="AG117" s="382"/>
      <c r="AH117" s="382"/>
      <c r="AI117" s="382"/>
    </row>
    <row r="118" spans="10:35">
      <c r="K118" t="s">
        <v>25</v>
      </c>
      <c r="N118" t="s">
        <v>25</v>
      </c>
      <c r="T118" s="368"/>
      <c r="U118" s="368"/>
      <c r="Y118" s="382"/>
      <c r="Z118" s="382"/>
      <c r="AA118" s="382"/>
      <c r="AB118" s="382"/>
      <c r="AC118" s="382"/>
      <c r="AG118" s="382"/>
      <c r="AH118" s="382"/>
      <c r="AI118" s="382"/>
    </row>
    <row r="119" spans="10:35">
      <c r="J119" t="s">
        <v>25</v>
      </c>
      <c r="T119" s="368"/>
      <c r="Y119" s="382"/>
      <c r="Z119" s="382"/>
      <c r="AA119" s="382"/>
      <c r="AB119" s="382"/>
      <c r="AC119" s="382"/>
      <c r="AG119" s="382"/>
      <c r="AH119" s="382"/>
      <c r="AI119" s="382"/>
    </row>
    <row r="120" spans="10:35">
      <c r="N120" t="s">
        <v>25</v>
      </c>
      <c r="T120" t="s">
        <v>25</v>
      </c>
      <c r="Y120" s="382"/>
      <c r="Z120" s="382"/>
      <c r="AA120" s="382"/>
      <c r="AB120" s="382"/>
      <c r="AC120" s="382"/>
      <c r="AG120" s="382"/>
      <c r="AH120" s="382"/>
      <c r="AI120" s="382"/>
    </row>
    <row r="121" spans="10:35">
      <c r="T121" s="368" t="s">
        <v>25</v>
      </c>
      <c r="Z121" s="382"/>
      <c r="AA121" s="382"/>
      <c r="AB121" s="382"/>
      <c r="AC121" s="382"/>
      <c r="AG121" s="382"/>
      <c r="AH121" s="382"/>
      <c r="AI121" s="382"/>
    </row>
    <row r="122" spans="10:35">
      <c r="N122" t="s">
        <v>25</v>
      </c>
      <c r="T122" s="368" t="s">
        <v>25</v>
      </c>
      <c r="U122" s="196"/>
    </row>
    <row r="123" spans="10:35">
      <c r="N123" t="s">
        <v>25</v>
      </c>
      <c r="P123" t="s">
        <v>25</v>
      </c>
      <c r="T123" s="368"/>
      <c r="U123" t="s">
        <v>25</v>
      </c>
      <c r="AI123" s="368"/>
    </row>
    <row r="124" spans="10:35">
      <c r="N124" t="s">
        <v>25</v>
      </c>
      <c r="T124" s="368"/>
      <c r="U124" t="s">
        <v>25</v>
      </c>
      <c r="Y124" t="s">
        <v>25</v>
      </c>
      <c r="AH124" t="s">
        <v>25</v>
      </c>
    </row>
    <row r="125" spans="10:35">
      <c r="T125" s="368"/>
      <c r="U125" t="s">
        <v>25</v>
      </c>
      <c r="V125" t="s">
        <v>25</v>
      </c>
      <c r="X125" s="202" t="s">
        <v>5472</v>
      </c>
    </row>
    <row r="126" spans="10:35">
      <c r="T126" s="368"/>
    </row>
    <row r="127" spans="10:35">
      <c r="T127" s="368" t="s">
        <v>25</v>
      </c>
    </row>
    <row r="128" spans="10:35">
      <c r="T128" s="36" t="s">
        <v>25</v>
      </c>
      <c r="U128" t="s">
        <v>25</v>
      </c>
    </row>
    <row r="129" spans="1:23">
      <c r="D129">
        <v>28000</v>
      </c>
      <c r="T129" s="36" t="s">
        <v>25</v>
      </c>
      <c r="U129" t="s">
        <v>25</v>
      </c>
    </row>
    <row r="130" spans="1:23">
      <c r="T130" s="368" t="s">
        <v>25</v>
      </c>
    </row>
    <row r="131" spans="1:23">
      <c r="A131" t="s">
        <v>6570</v>
      </c>
      <c r="B131">
        <v>10330</v>
      </c>
      <c r="C131">
        <v>11900</v>
      </c>
      <c r="D131" s="7">
        <f t="shared" ref="D131:D153" si="68">B131*$D$129</f>
        <v>289240000</v>
      </c>
      <c r="E131" s="7">
        <f t="shared" ref="E131:E153" si="69">C131*$D$129</f>
        <v>333200000</v>
      </c>
      <c r="F131" s="7">
        <v>440000000</v>
      </c>
      <c r="G131">
        <f>(F131-E131)*100/E131</f>
        <v>32.052821128451377</v>
      </c>
      <c r="O131" t="s">
        <v>25</v>
      </c>
    </row>
    <row r="132" spans="1:23">
      <c r="A132" t="s">
        <v>6571</v>
      </c>
      <c r="C132">
        <v>18000</v>
      </c>
      <c r="D132" s="7">
        <f t="shared" si="68"/>
        <v>0</v>
      </c>
      <c r="E132" s="7">
        <f t="shared" si="69"/>
        <v>504000000</v>
      </c>
      <c r="F132" s="7">
        <v>700000000</v>
      </c>
      <c r="G132">
        <f t="shared" ref="G132:G149" si="70">(F132-E132)*100/E132</f>
        <v>38.888888888888886</v>
      </c>
    </row>
    <row r="133" spans="1:23">
      <c r="A133" t="s">
        <v>6572</v>
      </c>
      <c r="C133">
        <v>19000</v>
      </c>
      <c r="D133" s="7">
        <f t="shared" si="68"/>
        <v>0</v>
      </c>
      <c r="E133" s="7">
        <f t="shared" si="69"/>
        <v>532000000</v>
      </c>
      <c r="F133" s="7">
        <v>650000000</v>
      </c>
      <c r="G133">
        <f t="shared" si="70"/>
        <v>22.180451127819548</v>
      </c>
      <c r="T133" t="s">
        <v>25</v>
      </c>
    </row>
    <row r="134" spans="1:23">
      <c r="A134" t="s">
        <v>6573</v>
      </c>
      <c r="C134">
        <v>23000</v>
      </c>
      <c r="D134" s="7">
        <f t="shared" si="68"/>
        <v>0</v>
      </c>
      <c r="E134" s="7">
        <f t="shared" si="69"/>
        <v>644000000</v>
      </c>
      <c r="F134" s="7">
        <v>930000000</v>
      </c>
      <c r="G134">
        <f t="shared" si="70"/>
        <v>44.409937888198755</v>
      </c>
      <c r="U134" s="368"/>
      <c r="W134" t="s">
        <v>25</v>
      </c>
    </row>
    <row r="135" spans="1:23">
      <c r="A135" t="s">
        <v>6574</v>
      </c>
      <c r="C135">
        <v>13000</v>
      </c>
      <c r="D135" s="7">
        <f t="shared" si="68"/>
        <v>0</v>
      </c>
      <c r="E135" s="7">
        <f t="shared" si="69"/>
        <v>364000000</v>
      </c>
      <c r="F135" s="7">
        <v>600000000</v>
      </c>
      <c r="G135">
        <f t="shared" si="70"/>
        <v>64.835164835164832</v>
      </c>
      <c r="T135" s="515"/>
      <c r="U135" s="368" t="s">
        <v>25</v>
      </c>
    </row>
    <row r="136" spans="1:23">
      <c r="A136" t="s">
        <v>6575</v>
      </c>
      <c r="C136">
        <v>13000</v>
      </c>
      <c r="D136" s="7">
        <f t="shared" si="68"/>
        <v>0</v>
      </c>
      <c r="E136" s="7">
        <f t="shared" si="69"/>
        <v>364000000</v>
      </c>
      <c r="F136" s="7">
        <v>400000000</v>
      </c>
      <c r="G136">
        <f t="shared" si="70"/>
        <v>9.8901098901098905</v>
      </c>
      <c r="T136" s="515"/>
      <c r="U136" s="368"/>
    </row>
    <row r="137" spans="1:23">
      <c r="A137" t="s">
        <v>6576</v>
      </c>
      <c r="C137">
        <v>13600</v>
      </c>
      <c r="D137" s="7">
        <f t="shared" si="68"/>
        <v>0</v>
      </c>
      <c r="E137" s="7">
        <f t="shared" si="69"/>
        <v>380800000</v>
      </c>
      <c r="F137" s="7">
        <v>520000000</v>
      </c>
      <c r="G137">
        <f t="shared" si="70"/>
        <v>36.554621848739494</v>
      </c>
      <c r="T137" s="515"/>
      <c r="U137" s="368"/>
    </row>
    <row r="138" spans="1:23">
      <c r="A138" t="s">
        <v>6577</v>
      </c>
      <c r="C138">
        <v>28000</v>
      </c>
      <c r="D138" s="7">
        <f t="shared" si="68"/>
        <v>0</v>
      </c>
      <c r="E138" s="7">
        <f t="shared" si="69"/>
        <v>784000000</v>
      </c>
      <c r="F138" s="7">
        <v>900000000</v>
      </c>
      <c r="G138">
        <f t="shared" si="70"/>
        <v>14.795918367346939</v>
      </c>
    </row>
    <row r="139" spans="1:23">
      <c r="A139" t="s">
        <v>6578</v>
      </c>
      <c r="C139">
        <v>19000</v>
      </c>
      <c r="D139" s="7">
        <f t="shared" si="68"/>
        <v>0</v>
      </c>
      <c r="E139" s="7">
        <f t="shared" si="69"/>
        <v>532000000</v>
      </c>
      <c r="F139" s="7">
        <v>700000000</v>
      </c>
      <c r="G139">
        <f t="shared" si="70"/>
        <v>31.578947368421051</v>
      </c>
    </row>
    <row r="140" spans="1:23">
      <c r="A140" t="s">
        <v>6579</v>
      </c>
      <c r="C140">
        <v>15000</v>
      </c>
      <c r="D140" s="7">
        <f t="shared" si="68"/>
        <v>0</v>
      </c>
      <c r="E140" s="7">
        <f t="shared" si="69"/>
        <v>420000000</v>
      </c>
      <c r="F140" s="7">
        <v>700000000</v>
      </c>
      <c r="G140">
        <f t="shared" si="70"/>
        <v>66.666666666666671</v>
      </c>
      <c r="N140" t="s">
        <v>25</v>
      </c>
      <c r="T140" s="368"/>
    </row>
    <row r="141" spans="1:23">
      <c r="A141" t="s">
        <v>6580</v>
      </c>
      <c r="C141">
        <v>21000</v>
      </c>
      <c r="D141" s="7">
        <f t="shared" si="68"/>
        <v>0</v>
      </c>
      <c r="E141" s="7">
        <f t="shared" si="69"/>
        <v>588000000</v>
      </c>
      <c r="F141" s="7">
        <v>700000000</v>
      </c>
      <c r="G141">
        <f t="shared" si="70"/>
        <v>19.047619047619047</v>
      </c>
    </row>
    <row r="142" spans="1:23">
      <c r="A142" t="s">
        <v>6581</v>
      </c>
      <c r="C142">
        <v>17000</v>
      </c>
      <c r="D142" s="7">
        <f t="shared" si="68"/>
        <v>0</v>
      </c>
      <c r="E142" s="7">
        <f t="shared" si="69"/>
        <v>476000000</v>
      </c>
      <c r="F142" s="7">
        <v>700000000</v>
      </c>
      <c r="G142">
        <f t="shared" si="70"/>
        <v>47.058823529411768</v>
      </c>
      <c r="O142" t="s">
        <v>25</v>
      </c>
    </row>
    <row r="143" spans="1:23">
      <c r="A143" t="s">
        <v>6582</v>
      </c>
      <c r="C143">
        <v>11000</v>
      </c>
      <c r="D143" s="7">
        <f t="shared" si="68"/>
        <v>0</v>
      </c>
      <c r="E143" s="7">
        <f t="shared" si="69"/>
        <v>308000000</v>
      </c>
      <c r="F143" s="7">
        <v>370000000</v>
      </c>
      <c r="G143">
        <f t="shared" si="70"/>
        <v>20.129870129870131</v>
      </c>
    </row>
    <row r="144" spans="1:23">
      <c r="D144" s="7">
        <f t="shared" si="68"/>
        <v>0</v>
      </c>
      <c r="E144" s="7">
        <f t="shared" si="69"/>
        <v>0</v>
      </c>
      <c r="F144" s="7"/>
      <c r="G144" t="e">
        <f t="shared" si="70"/>
        <v>#DIV/0!</v>
      </c>
    </row>
    <row r="145" spans="4:20">
      <c r="D145" s="7">
        <f t="shared" si="68"/>
        <v>0</v>
      </c>
      <c r="E145" s="7">
        <f t="shared" si="69"/>
        <v>0</v>
      </c>
      <c r="F145" s="7"/>
      <c r="G145" t="e">
        <f t="shared" si="70"/>
        <v>#DIV/0!</v>
      </c>
    </row>
    <row r="146" spans="4:20">
      <c r="D146" s="7">
        <f t="shared" si="68"/>
        <v>0</v>
      </c>
      <c r="E146" s="7">
        <f t="shared" si="69"/>
        <v>0</v>
      </c>
      <c r="F146" s="7"/>
      <c r="G146" t="e">
        <f t="shared" si="70"/>
        <v>#DIV/0!</v>
      </c>
    </row>
    <row r="147" spans="4:20">
      <c r="D147" s="7">
        <f t="shared" si="68"/>
        <v>0</v>
      </c>
      <c r="E147" s="7">
        <f t="shared" si="69"/>
        <v>0</v>
      </c>
      <c r="F147" s="7"/>
      <c r="G147" t="e">
        <f t="shared" si="70"/>
        <v>#DIV/0!</v>
      </c>
    </row>
    <row r="148" spans="4:20">
      <c r="D148" s="7">
        <f t="shared" si="68"/>
        <v>0</v>
      </c>
      <c r="E148" s="7">
        <f t="shared" si="69"/>
        <v>0</v>
      </c>
      <c r="F148" s="7"/>
      <c r="G148" t="e">
        <f t="shared" si="70"/>
        <v>#DIV/0!</v>
      </c>
    </row>
    <row r="149" spans="4:20">
      <c r="D149" s="7">
        <f t="shared" si="68"/>
        <v>0</v>
      </c>
      <c r="E149" s="7">
        <f t="shared" si="69"/>
        <v>0</v>
      </c>
      <c r="F149" s="7"/>
      <c r="G149" t="e">
        <f t="shared" si="70"/>
        <v>#DIV/0!</v>
      </c>
    </row>
    <row r="150" spans="4:20">
      <c r="D150" s="7">
        <f t="shared" si="68"/>
        <v>0</v>
      </c>
      <c r="E150" s="7">
        <f t="shared" si="69"/>
        <v>0</v>
      </c>
    </row>
    <row r="151" spans="4:20">
      <c r="D151" s="7">
        <f t="shared" si="68"/>
        <v>0</v>
      </c>
      <c r="E151" s="7">
        <f t="shared" si="69"/>
        <v>0</v>
      </c>
      <c r="O151" t="s">
        <v>25</v>
      </c>
    </row>
    <row r="152" spans="4:20">
      <c r="D152" s="7">
        <f t="shared" si="68"/>
        <v>0</v>
      </c>
      <c r="E152" s="7">
        <f t="shared" si="69"/>
        <v>0</v>
      </c>
    </row>
    <row r="153" spans="4:20">
      <c r="D153" s="7">
        <f t="shared" si="68"/>
        <v>0</v>
      </c>
      <c r="E153" s="7">
        <f t="shared" si="69"/>
        <v>0</v>
      </c>
    </row>
    <row r="158" spans="4:20">
      <c r="O158" t="s">
        <v>25</v>
      </c>
    </row>
    <row r="159" spans="4:20">
      <c r="T159"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1" spans="14:20">
      <c r="N181" t="s">
        <v>25</v>
      </c>
    </row>
    <row r="183" spans="14:20">
      <c r="N183" t="s">
        <v>25</v>
      </c>
    </row>
    <row r="188" spans="14:20">
      <c r="T188" t="s">
        <v>25</v>
      </c>
    </row>
  </sheetData>
  <phoneticPr fontId="25" type="noConversion"/>
  <conditionalFormatting sqref="K56:K110 K51:K54 K38 K45:K48 K1:K3 K7:K36 P39:Q4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4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3">
    <cfRule type="cellIs" dxfId="10" priority="121" operator="lessThan">
      <formula>1</formula>
    </cfRule>
    <cfRule type="cellIs" dxfId="9" priority="122" operator="greaterThan">
      <formula>1</formula>
    </cfRule>
  </conditionalFormatting>
  <conditionalFormatting sqref="Q39:Q43">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C20" sqref="C20: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124</v>
      </c>
      <c r="C20" s="354">
        <v>46.5</v>
      </c>
      <c r="D20" s="354">
        <v>76</v>
      </c>
      <c r="E20" s="474">
        <f>C20/(B20-D20)-1</f>
        <v>-3.125E-2</v>
      </c>
      <c r="F20" s="401">
        <f>E20/4.42</f>
        <v>-7.0701357466063349E-3</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1820</v>
      </c>
      <c r="C24" s="354">
        <v>2800</v>
      </c>
      <c r="D24" s="354">
        <v>250</v>
      </c>
      <c r="E24" s="474">
        <f t="shared" si="25"/>
        <v>0.78343949044585992</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1785</v>
      </c>
      <c r="H4" s="37">
        <f>C4*G4</f>
        <v>526575000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1785</v>
      </c>
      <c r="H19" s="37">
        <f>C19*G19</f>
        <v>23090760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2023-07-26T15:35:28Z</dcterms:modified>
</cp:coreProperties>
</file>