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5" i="18" l="1"/>
  <c r="T73" i="18"/>
  <c r="O41" i="18"/>
  <c r="O40" i="18"/>
  <c r="S184" i="18"/>
  <c r="K116" i="18" l="1"/>
  <c r="T144" i="18"/>
  <c r="O63" i="18"/>
  <c r="O60" i="18"/>
  <c r="T143" i="18" l="1"/>
  <c r="T142" i="18" l="1"/>
  <c r="T72" i="18"/>
  <c r="S182" i="18"/>
  <c r="F262" i="60" l="1"/>
  <c r="J262" i="60" s="1"/>
  <c r="G262" i="60" l="1"/>
  <c r="H262" i="60" s="1"/>
  <c r="I262" i="60"/>
  <c r="F263" i="60"/>
  <c r="F18" i="60"/>
  <c r="J263" i="60" l="1"/>
  <c r="I263" i="60"/>
  <c r="G263" i="60"/>
  <c r="H263" i="60" s="1"/>
  <c r="F265" i="60"/>
  <c r="F264" i="60"/>
  <c r="T141" i="18"/>
  <c r="J264" i="60" l="1"/>
  <c r="I264" i="60"/>
  <c r="G264" i="60"/>
  <c r="H264" i="60" s="1"/>
  <c r="J265" i="60"/>
  <c r="I265" i="60"/>
  <c r="G265" i="60"/>
  <c r="H265" i="60" s="1"/>
  <c r="T71" i="18"/>
  <c r="G139" i="18"/>
  <c r="X532" i="18" l="1"/>
  <c r="T70" i="18"/>
  <c r="T140" i="18"/>
  <c r="T69" i="18" l="1"/>
  <c r="X531" i="18"/>
  <c r="I47" i="63"/>
  <c r="H47" i="63"/>
  <c r="S183" i="18"/>
  <c r="P22" i="18"/>
  <c r="N22" i="18" s="1"/>
  <c r="P21" i="18"/>
  <c r="N21" i="18" s="1"/>
  <c r="T68" i="18" l="1"/>
  <c r="X530" i="18" l="1"/>
  <c r="T139" i="18" l="1"/>
  <c r="T67" i="18" l="1"/>
  <c r="T138" i="18"/>
  <c r="T66" i="18" l="1"/>
  <c r="O38" i="63" l="1"/>
  <c r="H18" i="60" l="1"/>
  <c r="I38" i="63" l="1"/>
  <c r="I37" i="63" l="1"/>
  <c r="O37" i="63"/>
  <c r="G38" i="63"/>
  <c r="H38" i="63"/>
  <c r="J38" i="63" s="1"/>
  <c r="K38" i="63" s="1"/>
  <c r="X529" i="18"/>
  <c r="AB97" i="18"/>
  <c r="T99" i="18"/>
  <c r="T98" i="18"/>
  <c r="S312" i="18"/>
  <c r="U159" i="18"/>
  <c r="U161" i="18"/>
  <c r="X528" i="18"/>
  <c r="X527" i="18"/>
  <c r="T137" i="18" l="1"/>
  <c r="O65" i="18"/>
  <c r="E100" i="63" l="1"/>
  <c r="X526" i="18"/>
  <c r="T65" i="18"/>
  <c r="S566" i="18" l="1"/>
  <c r="X525" i="18"/>
  <c r="AB123" i="18"/>
  <c r="AB124" i="18"/>
  <c r="AB125" i="18"/>
  <c r="AB126" i="18"/>
  <c r="AB127" i="18"/>
  <c r="AB128" i="18"/>
  <c r="AB129" i="18"/>
  <c r="AB130" i="18"/>
  <c r="AB131" i="18"/>
  <c r="AB122" i="18"/>
  <c r="AB57" i="18"/>
  <c r="AB58" i="18"/>
  <c r="AB59" i="18"/>
  <c r="AB60" i="18"/>
  <c r="AB56" i="18"/>
  <c r="T64" i="18"/>
  <c r="I48" i="63" l="1"/>
  <c r="I46" i="63"/>
  <c r="H48" i="63"/>
  <c r="H46" i="63"/>
  <c r="G48" i="63"/>
  <c r="G46" i="63"/>
  <c r="G47" i="63"/>
  <c r="J46" i="63" l="1"/>
  <c r="K46" i="63" s="1"/>
  <c r="C84" i="63" l="1"/>
  <c r="D84" i="63" s="1"/>
  <c r="C85" i="63"/>
  <c r="D85" i="63" s="1"/>
  <c r="C86" i="63"/>
  <c r="D86" i="63" s="1"/>
  <c r="C83" i="63"/>
  <c r="D83" i="63" s="1"/>
  <c r="D99" i="63" l="1"/>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X52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3" i="18" l="1"/>
  <c r="T62" i="18"/>
  <c r="D176" i="58" l="1"/>
  <c r="P30" i="18" l="1"/>
  <c r="X522" i="18" l="1"/>
  <c r="T136" i="18"/>
  <c r="J191" i="60" l="1"/>
  <c r="H326" i="18" l="1"/>
  <c r="X521" i="18"/>
  <c r="T135" i="18"/>
  <c r="I24" i="63"/>
  <c r="I25" i="63"/>
  <c r="G25" i="63"/>
  <c r="H25" i="63"/>
  <c r="J25" i="63" l="1"/>
  <c r="K25" i="63" s="1"/>
  <c r="X52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3" i="63"/>
  <c r="H43" i="63"/>
  <c r="G43" i="63"/>
  <c r="J252" i="60" l="1"/>
  <c r="J43" i="63"/>
  <c r="K43"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1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8" i="18" l="1"/>
  <c r="T134" i="18"/>
  <c r="X517" i="18" l="1"/>
  <c r="T133" i="18"/>
  <c r="X516" i="18" l="1"/>
  <c r="T132" i="18"/>
  <c r="X515"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4" i="63"/>
  <c r="J35" i="63" l="1"/>
  <c r="K35" i="63" s="1"/>
  <c r="J190" i="60"/>
  <c r="H190" i="60"/>
  <c r="F190" i="60"/>
  <c r="T129" i="18" l="1"/>
  <c r="X514" i="18"/>
  <c r="I32" i="63"/>
  <c r="O32" i="63"/>
  <c r="I33" i="63"/>
  <c r="O33" i="63"/>
  <c r="O34" i="63"/>
  <c r="G34" i="63"/>
  <c r="H34" i="63"/>
  <c r="N35" i="63" s="1"/>
  <c r="G33" i="63"/>
  <c r="H33" i="63"/>
  <c r="N34" i="63" l="1"/>
  <c r="J34" i="63"/>
  <c r="K34" i="63" s="1"/>
  <c r="J33" i="63"/>
  <c r="K33" i="63" s="1"/>
  <c r="X513" i="18"/>
  <c r="X512" i="18" l="1"/>
  <c r="T128" i="18" l="1"/>
  <c r="G32" i="63"/>
  <c r="H32" i="63"/>
  <c r="I30" i="63"/>
  <c r="I31" i="63"/>
  <c r="G31" i="63"/>
  <c r="H31" i="63"/>
  <c r="O31" i="63"/>
  <c r="N32" i="63" l="1"/>
  <c r="N33" i="63"/>
  <c r="J32" i="63"/>
  <c r="K32" i="63" s="1"/>
  <c r="J31" i="63"/>
  <c r="K31" i="63" s="1"/>
  <c r="T61" i="18"/>
  <c r="O30" i="63"/>
  <c r="G30" i="63"/>
  <c r="H30" i="63"/>
  <c r="J30" i="63" l="1"/>
  <c r="K30" i="63" s="1"/>
  <c r="N31" i="63"/>
  <c r="X51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0" i="18" l="1"/>
  <c r="J64" i="18"/>
  <c r="P44" i="63" l="1"/>
  <c r="I10" i="63" l="1"/>
  <c r="G10" i="63"/>
  <c r="H10" i="63"/>
  <c r="J10" i="63" l="1"/>
  <c r="K10" i="63" s="1"/>
  <c r="L16" i="18" l="1"/>
  <c r="L52" i="18"/>
  <c r="I42" i="63" l="1"/>
  <c r="H42" i="63"/>
  <c r="G42" i="63"/>
  <c r="I41" i="63"/>
  <c r="H41" i="63"/>
  <c r="J42" i="63" l="1"/>
  <c r="K42" i="63" s="1"/>
  <c r="J41" i="63"/>
  <c r="K41" i="63" s="1"/>
  <c r="G7" i="63"/>
  <c r="H7" i="63"/>
  <c r="I7" i="63"/>
  <c r="G8" i="63"/>
  <c r="H8" i="63"/>
  <c r="I8" i="63"/>
  <c r="G9" i="63"/>
  <c r="H9" i="63"/>
  <c r="N10" i="63" s="1"/>
  <c r="I9" i="63"/>
  <c r="J8" i="63" l="1"/>
  <c r="K8" i="63" s="1"/>
  <c r="J7" i="63"/>
  <c r="K7" i="63" s="1"/>
  <c r="J9" i="63"/>
  <c r="K9" i="63" s="1"/>
  <c r="N9" i="63"/>
  <c r="N8" i="63"/>
  <c r="I29" i="63" l="1"/>
  <c r="O29" i="63"/>
  <c r="I39"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0" i="63" l="1"/>
  <c r="H40" i="63"/>
  <c r="G41" i="63"/>
  <c r="J40" i="63" l="1"/>
  <c r="N47" i="63" l="1"/>
  <c r="N48" i="63"/>
  <c r="S21" i="63"/>
  <c r="U21" i="63" s="1"/>
  <c r="S22" i="63"/>
  <c r="U22" i="63" s="1"/>
  <c r="S23" i="63"/>
  <c r="S24" i="63"/>
  <c r="T24" i="63"/>
  <c r="U24" i="63"/>
  <c r="J48" i="63" l="1"/>
  <c r="K48" i="63" s="1"/>
  <c r="J47" i="63"/>
  <c r="K47" i="63" s="1"/>
  <c r="M65" i="63" l="1"/>
  <c r="M61" i="63"/>
  <c r="M62" i="63"/>
  <c r="H74" i="63" l="1"/>
  <c r="J2" i="60" l="1"/>
  <c r="X506" i="18" l="1"/>
  <c r="X501" i="18"/>
  <c r="X502" i="18"/>
  <c r="X503" i="18"/>
  <c r="X504" i="18"/>
  <c r="X505" i="18"/>
  <c r="X507" i="18"/>
  <c r="X508" i="18"/>
  <c r="X509" i="18"/>
  <c r="X533" i="18"/>
  <c r="X534" i="18"/>
  <c r="X535" i="18"/>
  <c r="P26" i="63"/>
  <c r="O26" i="63"/>
  <c r="O27" i="63"/>
  <c r="O28" i="63"/>
  <c r="X500" i="18" l="1"/>
  <c r="F19" i="60" l="1"/>
  <c r="F17" i="60"/>
  <c r="F16" i="60" l="1"/>
  <c r="M64" i="63"/>
  <c r="M63" i="63"/>
  <c r="F29" i="60"/>
  <c r="E6" i="60" l="1"/>
  <c r="L6" i="60" s="1"/>
  <c r="F3" i="60" l="1"/>
  <c r="F4" i="60"/>
  <c r="F2" i="60"/>
  <c r="H73" i="63" l="1"/>
  <c r="X499" i="18" l="1"/>
  <c r="H72" i="63"/>
  <c r="N46" i="63"/>
  <c r="M60" i="63" l="1"/>
  <c r="N55" i="18"/>
  <c r="I44" i="63"/>
  <c r="G44" i="63"/>
  <c r="H44" i="63"/>
  <c r="J44" i="63" l="1"/>
  <c r="K44" i="63" s="1"/>
  <c r="X498" i="18"/>
  <c r="X497" i="18"/>
  <c r="X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95" i="18"/>
  <c r="H70"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9" i="63"/>
  <c r="X494" i="18"/>
  <c r="X493" i="18" l="1"/>
  <c r="V536" i="18"/>
  <c r="N48" i="18"/>
  <c r="N27" i="18"/>
  <c r="G29" i="63" l="1"/>
  <c r="H29" i="63"/>
  <c r="N30" i="63" s="1"/>
  <c r="G28" i="63"/>
  <c r="H28" i="63"/>
  <c r="N29" i="63" l="1"/>
  <c r="J29" i="63"/>
  <c r="K29" i="63" s="1"/>
  <c r="J28" i="63"/>
  <c r="K28" i="63" s="1"/>
  <c r="X492" i="18"/>
  <c r="I27" i="63"/>
  <c r="G27" i="63"/>
  <c r="H27" i="63"/>
  <c r="N28" i="63" s="1"/>
  <c r="J27" i="63" l="1"/>
  <c r="K27" i="63" s="1"/>
  <c r="X491" i="18" l="1"/>
  <c r="N26" i="63"/>
  <c r="I26" i="63"/>
  <c r="H26" i="63"/>
  <c r="N27" i="63" s="1"/>
  <c r="G26" i="63"/>
  <c r="J26" i="63" l="1"/>
  <c r="K26" i="63" s="1"/>
  <c r="H59" i="63" l="1"/>
  <c r="G59" i="63"/>
  <c r="I58" i="63"/>
  <c r="G58" i="63"/>
  <c r="H58" i="63"/>
  <c r="J59" i="63" l="1"/>
  <c r="K59" i="63" s="1"/>
  <c r="J58" i="63"/>
  <c r="K58" i="63" s="1"/>
  <c r="Q16" i="63" l="1"/>
  <c r="G23" i="63" l="1"/>
  <c r="H23" i="63"/>
  <c r="N24" i="63" s="1"/>
  <c r="J23" i="63" l="1"/>
  <c r="K23" i="63" s="1"/>
  <c r="I22" i="63"/>
  <c r="G22" i="63"/>
  <c r="H22" i="63"/>
  <c r="N23" i="63" s="1"/>
  <c r="J22" i="63" l="1"/>
  <c r="K22" i="63" s="1"/>
  <c r="X490" i="18"/>
  <c r="X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8" i="18" l="1"/>
  <c r="X48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6" i="18" l="1"/>
  <c r="X48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3" i="18"/>
  <c r="R159" i="60" l="1"/>
  <c r="S160" i="60"/>
  <c r="X482" i="18"/>
  <c r="X481" i="18"/>
  <c r="X480" i="18"/>
  <c r="S159" i="60" l="1"/>
  <c r="R158" i="60"/>
  <c r="X479" i="18"/>
  <c r="S158" i="60" l="1"/>
  <c r="R157" i="60"/>
  <c r="I54" i="63"/>
  <c r="I55" i="63"/>
  <c r="I56" i="63"/>
  <c r="I57" i="63"/>
  <c r="I53"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78" i="18"/>
  <c r="R154" i="60" l="1"/>
  <c r="S155" i="60"/>
  <c r="X477" i="18"/>
  <c r="X476" i="18"/>
  <c r="S154" i="60" l="1"/>
  <c r="R153" i="60"/>
  <c r="E152" i="60"/>
  <c r="E154" i="60"/>
  <c r="E155" i="60"/>
  <c r="E156" i="60"/>
  <c r="E153" i="60"/>
  <c r="S153" i="60" l="1"/>
  <c r="R152" i="60"/>
  <c r="X47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1" i="18"/>
  <c r="S148" i="60" l="1"/>
  <c r="R147" i="60"/>
  <c r="X474" i="18"/>
  <c r="R146" i="60" l="1"/>
  <c r="S147" i="60"/>
  <c r="X473" i="18"/>
  <c r="N30" i="18"/>
  <c r="M113" i="18" s="1"/>
  <c r="N52" i="18"/>
  <c r="S146" i="60" l="1"/>
  <c r="R145" i="60"/>
  <c r="F135" i="60"/>
  <c r="D135" i="60"/>
  <c r="D141" i="60" s="1"/>
  <c r="S145" i="60" l="1"/>
  <c r="R144" i="60"/>
  <c r="I136" i="60"/>
  <c r="R143" i="60" l="1"/>
  <c r="S144" i="60"/>
  <c r="F136" i="60"/>
  <c r="I137" i="60" s="1"/>
  <c r="F137" i="60" s="1"/>
  <c r="I138" i="60" s="1"/>
  <c r="X471" i="18"/>
  <c r="S143" i="60" l="1"/>
  <c r="R142" i="60"/>
  <c r="F138" i="60"/>
  <c r="F141" i="60" s="1"/>
  <c r="S142" i="60" l="1"/>
  <c r="R141" i="60"/>
  <c r="W162" i="18"/>
  <c r="AK489" i="18"/>
  <c r="R140" i="60" l="1"/>
  <c r="S141" i="60"/>
  <c r="X470" i="18"/>
  <c r="X469" i="18"/>
  <c r="X468" i="18"/>
  <c r="X472" i="18"/>
  <c r="X467" i="18"/>
  <c r="X466" i="18"/>
  <c r="P32" i="18"/>
  <c r="N32" i="18" s="1"/>
  <c r="N53" i="18"/>
  <c r="X386" i="18"/>
  <c r="R139" i="60" l="1"/>
  <c r="S140" i="60"/>
  <c r="T113" i="18"/>
  <c r="R138" i="60" l="1"/>
  <c r="S139" i="60"/>
  <c r="M8" i="60"/>
  <c r="D2" i="60"/>
  <c r="R137" i="60" l="1"/>
  <c r="S138" i="60"/>
  <c r="X465" i="18"/>
  <c r="R136" i="60" l="1"/>
  <c r="S137" i="60"/>
  <c r="X464" i="18"/>
  <c r="X463" i="18"/>
  <c r="AM244" i="18"/>
  <c r="AM243" i="18" s="1"/>
  <c r="AM242" i="18" s="1"/>
  <c r="R135" i="60" l="1"/>
  <c r="S136" i="60"/>
  <c r="X462" i="18"/>
  <c r="R134" i="60" l="1"/>
  <c r="S135" i="60"/>
  <c r="X461" i="18"/>
  <c r="G21" i="63"/>
  <c r="H21" i="63"/>
  <c r="N22" i="63" s="1"/>
  <c r="R133" i="60" l="1"/>
  <c r="S134" i="60"/>
  <c r="J21" i="63"/>
  <c r="K21" i="63" s="1"/>
  <c r="G53" i="63"/>
  <c r="H53" i="63"/>
  <c r="J53" i="63" s="1"/>
  <c r="K53" i="63" s="1"/>
  <c r="S133" i="60" l="1"/>
  <c r="R132" i="60"/>
  <c r="R131" i="60" l="1"/>
  <c r="S132" i="60"/>
  <c r="X458" i="18"/>
  <c r="X459" i="18"/>
  <c r="X460" i="18"/>
  <c r="R130" i="60" l="1"/>
  <c r="S131" i="60"/>
  <c r="P29" i="18"/>
  <c r="R129" i="60" l="1"/>
  <c r="S130" i="60"/>
  <c r="X457" i="18"/>
  <c r="S129" i="60" l="1"/>
  <c r="R128" i="60"/>
  <c r="G20" i="63"/>
  <c r="H20" i="63"/>
  <c r="S128" i="60" l="1"/>
  <c r="R127" i="60"/>
  <c r="J20" i="63"/>
  <c r="K20" i="63" s="1"/>
  <c r="N21" i="63"/>
  <c r="X456" i="18"/>
  <c r="R126" i="60" l="1"/>
  <c r="S127" i="60"/>
  <c r="X45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G39" i="63"/>
  <c r="X454" i="18"/>
  <c r="R119" i="60" l="1"/>
  <c r="S120" i="60"/>
  <c r="K40" i="63"/>
  <c r="N17" i="63"/>
  <c r="G14" i="63"/>
  <c r="H14" i="63"/>
  <c r="G15" i="63"/>
  <c r="H15" i="63"/>
  <c r="X453" i="18"/>
  <c r="G12" i="63"/>
  <c r="H12" i="63"/>
  <c r="G13" i="63"/>
  <c r="H13" i="63"/>
  <c r="S119" i="60" l="1"/>
  <c r="R118" i="60"/>
  <c r="N14" i="63"/>
  <c r="J14" i="63"/>
  <c r="K14" i="63" s="1"/>
  <c r="N15" i="63"/>
  <c r="J15" i="63"/>
  <c r="K15" i="63" s="1"/>
  <c r="N16" i="63"/>
  <c r="N13" i="63"/>
  <c r="J13" i="63"/>
  <c r="K13" i="63" s="1"/>
  <c r="J12" i="63"/>
  <c r="K12" i="63" s="1"/>
  <c r="X452" i="18"/>
  <c r="R117" i="60" l="1"/>
  <c r="S118" i="60"/>
  <c r="W163" i="18"/>
  <c r="U157" i="18" s="1"/>
  <c r="X451" i="18"/>
  <c r="G11" i="63"/>
  <c r="R116" i="60" l="1"/>
  <c r="S117" i="60"/>
  <c r="P36" i="18"/>
  <c r="G4" i="67" s="1"/>
  <c r="X450" i="18"/>
  <c r="R115" i="60" l="1"/>
  <c r="S116" i="60"/>
  <c r="H4" i="67"/>
  <c r="H10" i="67" s="1"/>
  <c r="G19" i="67"/>
  <c r="H19" i="67" s="1"/>
  <c r="H23" i="67" s="1"/>
  <c r="X449" i="18"/>
  <c r="S115" i="60" l="1"/>
  <c r="R114" i="60"/>
  <c r="E26" i="67"/>
  <c r="H1" i="63"/>
  <c r="S114" i="60" l="1"/>
  <c r="R113" i="60"/>
  <c r="J1" i="63"/>
  <c r="K1" i="63" s="1"/>
  <c r="P173" i="60"/>
  <c r="R112" i="60" l="1"/>
  <c r="S113" i="60"/>
  <c r="X446" i="18"/>
  <c r="R111" i="60" l="1"/>
  <c r="S112" i="60"/>
  <c r="X445"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44" i="18"/>
  <c r="R107" i="60" l="1"/>
  <c r="S108" i="60"/>
  <c r="J57" i="63"/>
  <c r="K57" i="63" s="1"/>
  <c r="K56" i="63"/>
  <c r="R106" i="60" l="1"/>
  <c r="S107" i="60"/>
  <c r="X443" i="18"/>
  <c r="G5" i="63"/>
  <c r="H5" i="63"/>
  <c r="G6" i="63"/>
  <c r="H6" i="63"/>
  <c r="G2" i="63"/>
  <c r="H2" i="63"/>
  <c r="G3" i="63"/>
  <c r="H3" i="63"/>
  <c r="S106" i="60" l="1"/>
  <c r="R105" i="60"/>
  <c r="J6" i="63"/>
  <c r="K6" i="63" s="1"/>
  <c r="N7" i="63"/>
  <c r="J2" i="63"/>
  <c r="K2" i="63" s="1"/>
  <c r="J3" i="63"/>
  <c r="K3" i="63" s="1"/>
  <c r="J5" i="63"/>
  <c r="K5" i="63" s="1"/>
  <c r="N6" i="63"/>
  <c r="N3" i="63"/>
  <c r="X442" i="18"/>
  <c r="R104" i="60" l="1"/>
  <c r="S105" i="60"/>
  <c r="X441" i="18"/>
  <c r="R103" i="60" l="1"/>
  <c r="S104" i="60"/>
  <c r="R102" i="60" l="1"/>
  <c r="S103" i="60"/>
  <c r="O473" i="52"/>
  <c r="J473" i="52"/>
  <c r="R101" i="60" l="1"/>
  <c r="S102" i="60"/>
  <c r="X436" i="18"/>
  <c r="X437" i="18"/>
  <c r="X438" i="18"/>
  <c r="X439" i="18"/>
  <c r="X440" i="18"/>
  <c r="X447" i="18"/>
  <c r="X448" i="18"/>
  <c r="AM488" i="18"/>
  <c r="AM487" i="18" s="1"/>
  <c r="O472" i="52"/>
  <c r="J472" i="52"/>
  <c r="S101" i="60" l="1"/>
  <c r="R100" i="60"/>
  <c r="AN487" i="18"/>
  <c r="AM486" i="18"/>
  <c r="AN488" i="18"/>
  <c r="S100" i="60" l="1"/>
  <c r="R99" i="60"/>
  <c r="AM485" i="18"/>
  <c r="AN486" i="18"/>
  <c r="AM471" i="18"/>
  <c r="X435" i="18"/>
  <c r="X434" i="18"/>
  <c r="X433" i="18"/>
  <c r="X432" i="18"/>
  <c r="X43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5" i="18"/>
  <c r="X426" i="18"/>
  <c r="X427" i="18"/>
  <c r="X428" i="18"/>
  <c r="X429" i="18"/>
  <c r="X430" i="18"/>
  <c r="R90" i="60" l="1"/>
  <c r="S91" i="60"/>
  <c r="AN476" i="18"/>
  <c r="AM475" i="18"/>
  <c r="AM462" i="18"/>
  <c r="AN462" i="18" s="1"/>
  <c r="AN463" i="18"/>
  <c r="O454" i="52"/>
  <c r="J454" i="52"/>
  <c r="S90" i="60" l="1"/>
  <c r="R89" i="60"/>
  <c r="AM474" i="18"/>
  <c r="AN475" i="18"/>
  <c r="X424" i="18"/>
  <c r="S89" i="60" l="1"/>
  <c r="R88" i="60"/>
  <c r="AM473" i="18"/>
  <c r="AN474" i="18"/>
  <c r="R87" i="60" l="1"/>
  <c r="S88" i="60"/>
  <c r="AN473" i="18"/>
  <c r="AM472" i="18"/>
  <c r="AN472" i="18" s="1"/>
  <c r="X423" i="18"/>
  <c r="X422" i="18"/>
  <c r="R86" i="60" l="1"/>
  <c r="S87" i="60"/>
  <c r="X421" i="18"/>
  <c r="X420" i="18"/>
  <c r="R85" i="60" l="1"/>
  <c r="S86" i="60"/>
  <c r="X419" i="18"/>
  <c r="S85" i="60" l="1"/>
  <c r="R84" i="60"/>
  <c r="X418" i="18"/>
  <c r="R83" i="60" l="1"/>
  <c r="S84" i="60"/>
  <c r="X417" i="18"/>
  <c r="S83" i="60" l="1"/>
  <c r="R82" i="60"/>
  <c r="X416" i="18"/>
  <c r="S82" i="60" l="1"/>
  <c r="R81" i="60"/>
  <c r="X415" i="18"/>
  <c r="S81" i="60" l="1"/>
  <c r="R80" i="60"/>
  <c r="X41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2" i="18"/>
  <c r="S78" i="60" l="1"/>
  <c r="R77" i="60"/>
  <c r="X411" i="18"/>
  <c r="S77" i="60" l="1"/>
  <c r="R76" i="60"/>
  <c r="X410" i="18"/>
  <c r="R75" i="60" l="1"/>
  <c r="S76" i="60"/>
  <c r="X409" i="18"/>
  <c r="R74" i="60" l="1"/>
  <c r="S75" i="60"/>
  <c r="X408" i="18"/>
  <c r="R73" i="60" l="1"/>
  <c r="S74" i="60"/>
  <c r="G1" i="63"/>
  <c r="R72" i="60" l="1"/>
  <c r="S73" i="60"/>
  <c r="N2" i="63"/>
  <c r="X407" i="18"/>
  <c r="R71" i="60" l="1"/>
  <c r="S72" i="60"/>
  <c r="X406" i="18"/>
  <c r="S71" i="60" l="1"/>
  <c r="R70" i="60"/>
  <c r="X405" i="18"/>
  <c r="R69" i="60" l="1"/>
  <c r="S70" i="60"/>
  <c r="X404" i="18"/>
  <c r="R68" i="60" l="1"/>
  <c r="S69" i="60"/>
  <c r="X403" i="18"/>
  <c r="S68" i="60" l="1"/>
  <c r="R67" i="60"/>
  <c r="X402" i="18"/>
  <c r="S67" i="60" l="1"/>
  <c r="R66" i="60"/>
  <c r="X401" i="18"/>
  <c r="R65" i="60" l="1"/>
  <c r="S66" i="60"/>
  <c r="X397" i="18"/>
  <c r="X400" i="18"/>
  <c r="R64" i="60" l="1"/>
  <c r="S65" i="60"/>
  <c r="X399" i="18"/>
  <c r="S64" i="60" l="1"/>
  <c r="R63" i="60"/>
  <c r="X398" i="18"/>
  <c r="S63" i="60" l="1"/>
  <c r="R62" i="60"/>
  <c r="X396" i="18"/>
  <c r="S62" i="60" l="1"/>
  <c r="R61" i="60"/>
  <c r="X395" i="18"/>
  <c r="S61" i="60" l="1"/>
  <c r="R60" i="60"/>
  <c r="X393" i="18"/>
  <c r="X392" i="18"/>
  <c r="X391" i="18"/>
  <c r="X388" i="18"/>
  <c r="X389" i="18"/>
  <c r="X390" i="18"/>
  <c r="X387" i="18"/>
  <c r="X394" i="18"/>
  <c r="R59" i="60" l="1"/>
  <c r="S60" i="60"/>
  <c r="X385" i="18"/>
  <c r="S59" i="60" l="1"/>
  <c r="R58" i="60"/>
  <c r="X384" i="18"/>
  <c r="S58" i="60" l="1"/>
  <c r="R57" i="60"/>
  <c r="X383" i="18"/>
  <c r="R56" i="60" l="1"/>
  <c r="S57" i="60"/>
  <c r="X382" i="18"/>
  <c r="R55" i="60" l="1"/>
  <c r="S56" i="60"/>
  <c r="X381" i="18"/>
  <c r="R54" i="60" l="1"/>
  <c r="S55" i="60"/>
  <c r="X380" i="18"/>
  <c r="X37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7" i="18"/>
  <c r="S51" i="60" l="1"/>
  <c r="R50" i="60"/>
  <c r="X376" i="18"/>
  <c r="S50" i="60" l="1"/>
  <c r="R49" i="60"/>
  <c r="X375" i="18"/>
  <c r="S49" i="60" l="1"/>
  <c r="R48" i="60"/>
  <c r="X374" i="18"/>
  <c r="R47" i="60" l="1"/>
  <c r="S48" i="60"/>
  <c r="X373" i="18"/>
  <c r="X372" i="18"/>
  <c r="X371" i="18"/>
  <c r="X370" i="18"/>
  <c r="S47" i="60" l="1"/>
  <c r="R46" i="60"/>
  <c r="X369" i="18"/>
  <c r="S46" i="60" l="1"/>
  <c r="R45" i="60"/>
  <c r="X36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7" i="18"/>
  <c r="S37" i="60" l="1"/>
  <c r="R36" i="60"/>
  <c r="AM241" i="18"/>
  <c r="AN242" i="18"/>
  <c r="S36" i="60" l="1"/>
  <c r="R35" i="60"/>
  <c r="AM240" i="18"/>
  <c r="AN241" i="18"/>
  <c r="X366" i="18"/>
  <c r="R34" i="60" l="1"/>
  <c r="S35" i="60"/>
  <c r="AM239" i="18"/>
  <c r="AN240" i="18"/>
  <c r="X36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4" i="18"/>
  <c r="X363" i="18"/>
  <c r="X362" i="18"/>
  <c r="X361" i="18"/>
  <c r="X36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5" i="18"/>
  <c r="X356" i="18"/>
  <c r="X357" i="18"/>
  <c r="X358" i="18"/>
  <c r="X359" i="18"/>
  <c r="AM230" i="18" l="1"/>
  <c r="AN231" i="18"/>
  <c r="X354" i="18"/>
  <c r="AM229" i="18" l="1"/>
  <c r="AN230" i="18"/>
  <c r="X353" i="18"/>
  <c r="AM228" i="18" l="1"/>
  <c r="AN229" i="18"/>
  <c r="X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1" i="18"/>
  <c r="P374" i="52" l="1"/>
  <c r="AM227" i="18"/>
  <c r="AN228" i="18"/>
  <c r="P375" i="52"/>
  <c r="P376" i="52"/>
  <c r="P368" i="52"/>
  <c r="P373" i="52"/>
  <c r="P372" i="52"/>
  <c r="P371" i="52"/>
  <c r="P370" i="52"/>
  <c r="P369" i="52"/>
  <c r="X350" i="18"/>
  <c r="AM226" i="18" l="1"/>
  <c r="AN227" i="18"/>
  <c r="AM225" i="18" l="1"/>
  <c r="AN226" i="18"/>
  <c r="AM224" i="18" l="1"/>
  <c r="AN225" i="18"/>
  <c r="AM223" i="18" l="1"/>
  <c r="AN224" i="18"/>
  <c r="X349"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8" i="18"/>
  <c r="AM217" i="18" l="1"/>
  <c r="AN218" i="18"/>
  <c r="AM458" i="18"/>
  <c r="AN459" i="18"/>
  <c r="X347" i="18"/>
  <c r="AM216" i="18" l="1"/>
  <c r="AN217" i="18"/>
  <c r="AN458" i="18"/>
  <c r="AM457" i="18"/>
  <c r="X346" i="18"/>
  <c r="AM215" i="18" l="1"/>
  <c r="AN216" i="18"/>
  <c r="AM456" i="18"/>
  <c r="AN457" i="18"/>
  <c r="M157" i="18"/>
  <c r="L157" i="18"/>
  <c r="X345" i="18"/>
  <c r="AM214" i="18" l="1"/>
  <c r="AN214" i="18" s="1"/>
  <c r="AN215" i="18"/>
  <c r="AN456" i="18"/>
  <c r="AM455" i="18"/>
  <c r="X344" i="18"/>
  <c r="AM454" i="18" l="1"/>
  <c r="AN455" i="18"/>
  <c r="X343"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2" i="18"/>
  <c r="AM448" i="18" l="1"/>
  <c r="AN449" i="18"/>
  <c r="X341" i="18"/>
  <c r="J347" i="52"/>
  <c r="AN448" i="18" l="1"/>
  <c r="AM447" i="18"/>
  <c r="L151" i="18"/>
  <c r="M151" i="18"/>
  <c r="M150" i="18"/>
  <c r="L150" i="18"/>
  <c r="X340" i="18"/>
  <c r="AN447" i="18" l="1"/>
  <c r="AM446" i="18"/>
  <c r="X339" i="18"/>
  <c r="AN446" i="18" l="1"/>
  <c r="AM445" i="18"/>
  <c r="AM444" i="18" l="1"/>
  <c r="AN445" i="18"/>
  <c r="AM443" i="18" l="1"/>
  <c r="AN444" i="18"/>
  <c r="X338" i="18" l="1"/>
  <c r="X337" i="18" l="1"/>
  <c r="X336" i="18" l="1"/>
  <c r="X335" i="18" l="1"/>
  <c r="N348" i="52"/>
  <c r="X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5" i="18" l="1"/>
  <c r="X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2" i="18"/>
  <c r="D418" i="15" l="1"/>
  <c r="F419" i="15"/>
  <c r="F418" i="15" l="1"/>
  <c r="D417" i="15"/>
  <c r="X331" i="18"/>
  <c r="O305" i="52"/>
  <c r="J305" i="52"/>
  <c r="D416" i="15" l="1"/>
  <c r="F417" i="15"/>
  <c r="D415" i="15" l="1"/>
  <c r="F416" i="15"/>
  <c r="X330" i="18"/>
  <c r="O302" i="52"/>
  <c r="F415" i="15" l="1"/>
  <c r="D414" i="15"/>
  <c r="D413" i="15" l="1"/>
  <c r="F414" i="15"/>
  <c r="D412" i="15" l="1"/>
  <c r="F413" i="15"/>
  <c r="X329" i="18"/>
  <c r="O301" i="52"/>
  <c r="F412" i="15" l="1"/>
  <c r="D411" i="15"/>
  <c r="D410" i="15" l="1"/>
  <c r="F411" i="15"/>
  <c r="X328" i="18"/>
  <c r="X327" i="18"/>
  <c r="J300" i="52"/>
  <c r="F410" i="15" l="1"/>
  <c r="D409" i="15"/>
  <c r="X326" i="18"/>
  <c r="O299" i="52"/>
  <c r="X325" i="18"/>
  <c r="X324" i="18"/>
  <c r="D408" i="15" l="1"/>
  <c r="F409" i="15"/>
  <c r="X323" i="18"/>
  <c r="X322" i="18"/>
  <c r="X321" i="18"/>
  <c r="N35" i="18"/>
  <c r="O298" i="52"/>
  <c r="D407" i="15" l="1"/>
  <c r="F408" i="15"/>
  <c r="J298" i="52"/>
  <c r="F407" i="15" l="1"/>
  <c r="D406" i="15"/>
  <c r="O297" i="52"/>
  <c r="X320" i="18"/>
  <c r="X319" i="18"/>
  <c r="X318" i="18"/>
  <c r="D405" i="15" l="1"/>
  <c r="F406" i="15"/>
  <c r="X317" i="18"/>
  <c r="J296" i="52"/>
  <c r="D404" i="15" l="1"/>
  <c r="F405" i="15"/>
  <c r="J295" i="52"/>
  <c r="F404" i="15" l="1"/>
  <c r="D403" i="15"/>
  <c r="X31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2" i="18"/>
  <c r="D388" i="15" l="1"/>
  <c r="F389" i="15"/>
  <c r="J275" i="52"/>
  <c r="F388" i="15" l="1"/>
  <c r="D387" i="15"/>
  <c r="X311" i="18"/>
  <c r="D386" i="15" l="1"/>
  <c r="F387" i="15"/>
  <c r="J274" i="52"/>
  <c r="F386" i="15" l="1"/>
  <c r="D385" i="15"/>
  <c r="X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9" i="18"/>
  <c r="X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6" i="18"/>
  <c r="X305" i="18"/>
  <c r="X304" i="18"/>
  <c r="D364" i="15" l="1"/>
  <c r="F365" i="15"/>
  <c r="O223" i="52"/>
  <c r="X303" i="18"/>
  <c r="F364" i="15" l="1"/>
  <c r="D363" i="15"/>
  <c r="J222" i="52"/>
  <c r="X302" i="18"/>
  <c r="D362" i="15" l="1"/>
  <c r="F363" i="15"/>
  <c r="X301" i="18"/>
  <c r="X300" i="18"/>
  <c r="D361" i="15" l="1"/>
  <c r="F362" i="15"/>
  <c r="O220" i="52"/>
  <c r="F361" i="15" l="1"/>
  <c r="D360" i="15"/>
  <c r="X299" i="18"/>
  <c r="X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6" i="18"/>
  <c r="F348" i="15" l="1"/>
  <c r="D347" i="15"/>
  <c r="O210" i="52"/>
  <c r="D346" i="15" l="1"/>
  <c r="F347" i="15"/>
  <c r="J210" i="52"/>
  <c r="D345" i="15" l="1"/>
  <c r="F346" i="15"/>
  <c r="J209" i="52"/>
  <c r="O208" i="52"/>
  <c r="J208" i="52"/>
  <c r="D344" i="15" l="1"/>
  <c r="F345" i="15"/>
  <c r="X295" i="18"/>
  <c r="F344" i="15" l="1"/>
  <c r="D343" i="15"/>
  <c r="O207" i="52"/>
  <c r="J207" i="52"/>
  <c r="X294" i="18"/>
  <c r="D342" i="15" l="1"/>
  <c r="F343" i="15"/>
  <c r="X293" i="18"/>
  <c r="D341" i="15" l="1"/>
  <c r="F342" i="15"/>
  <c r="X292" i="18"/>
  <c r="D340" i="15" l="1"/>
  <c r="F341" i="15"/>
  <c r="O204" i="52"/>
  <c r="F340" i="15" l="1"/>
  <c r="D339" i="15"/>
  <c r="J203" i="52"/>
  <c r="X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0" i="18"/>
  <c r="X289" i="18"/>
  <c r="X288" i="18"/>
  <c r="J202" i="52"/>
  <c r="D336" i="15" l="1"/>
  <c r="F337" i="15"/>
  <c r="X287" i="18"/>
  <c r="J201" i="52"/>
  <c r="X286" i="18"/>
  <c r="F336" i="15" l="1"/>
  <c r="D335" i="15"/>
  <c r="J200" i="52"/>
  <c r="D334" i="15" l="1"/>
  <c r="F335" i="15"/>
  <c r="X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4" i="18"/>
  <c r="F330" i="15" l="1"/>
  <c r="D329" i="15"/>
  <c r="D328" i="15" l="1"/>
  <c r="F329" i="15"/>
  <c r="X283" i="18"/>
  <c r="D327" i="15" l="1"/>
  <c r="F328" i="15"/>
  <c r="AM213" i="18" l="1"/>
  <c r="F327" i="15"/>
  <c r="D326" i="15"/>
  <c r="AM212" i="18" l="1"/>
  <c r="AN213" i="18"/>
  <c r="F326" i="15"/>
  <c r="D325" i="15"/>
  <c r="J195" i="52"/>
  <c r="O195" i="52"/>
  <c r="J194" i="52"/>
  <c r="X282" i="18"/>
  <c r="AM211" i="18" l="1"/>
  <c r="AN212" i="18"/>
  <c r="F325" i="15"/>
  <c r="D324" i="15"/>
  <c r="N194" i="52"/>
  <c r="X281" i="18"/>
  <c r="X280" i="18"/>
  <c r="AM210" i="18" l="1"/>
  <c r="AN211" i="18"/>
  <c r="F324" i="15"/>
  <c r="D323" i="15"/>
  <c r="X279" i="18"/>
  <c r="AN210" i="18" l="1"/>
  <c r="AM209" i="18"/>
  <c r="F323" i="15"/>
  <c r="D322" i="15"/>
  <c r="S154" i="18"/>
  <c r="T154" i="18" s="1"/>
  <c r="AM208" i="18" l="1"/>
  <c r="AN209" i="18"/>
  <c r="F322" i="15"/>
  <c r="D321" i="15"/>
  <c r="X278" i="18"/>
  <c r="AN208" i="18" l="1"/>
  <c r="AM207" i="18"/>
  <c r="F321" i="15"/>
  <c r="D320" i="15"/>
  <c r="X277" i="18"/>
  <c r="O190" i="52"/>
  <c r="J190" i="52"/>
  <c r="AM206" i="18" l="1"/>
  <c r="AN207" i="18"/>
  <c r="F320" i="15"/>
  <c r="D319" i="15"/>
  <c r="X276" i="18"/>
  <c r="AN206" i="18" l="1"/>
  <c r="AM205" i="18"/>
  <c r="F319" i="15"/>
  <c r="D318" i="15"/>
  <c r="N57" i="18"/>
  <c r="N54" i="18"/>
  <c r="M110" i="18" l="1"/>
  <c r="AN205" i="18"/>
  <c r="AM204" i="18"/>
  <c r="F318" i="15"/>
  <c r="D317" i="15"/>
  <c r="O187" i="52"/>
  <c r="X275" i="18"/>
  <c r="AN204" i="18" l="1"/>
  <c r="AM203" i="18"/>
  <c r="F317" i="15"/>
  <c r="D316" i="15"/>
  <c r="J186" i="52"/>
  <c r="X274" i="18"/>
  <c r="X262" i="18"/>
  <c r="X261" i="18"/>
  <c r="AN203" i="18" l="1"/>
  <c r="AM202" i="18"/>
  <c r="F316" i="15"/>
  <c r="D315" i="15"/>
  <c r="J185" i="52"/>
  <c r="X273" i="18"/>
  <c r="AN202" i="18" l="1"/>
  <c r="AM201" i="18"/>
  <c r="F315" i="15"/>
  <c r="D314" i="15"/>
  <c r="AM200" i="18" l="1"/>
  <c r="AN201" i="18"/>
  <c r="F314" i="15"/>
  <c r="D313" i="15"/>
  <c r="AM199" i="18" l="1"/>
  <c r="AN200" i="18"/>
  <c r="F313" i="15"/>
  <c r="D312" i="15"/>
  <c r="N181" i="52"/>
  <c r="AM198" i="18" l="1"/>
  <c r="AN199" i="18"/>
  <c r="F312" i="15"/>
  <c r="D311" i="15"/>
  <c r="X272" i="18"/>
  <c r="B8" i="36"/>
  <c r="AM197" i="18" l="1"/>
  <c r="AN198" i="18"/>
  <c r="F311" i="15"/>
  <c r="D310" i="15"/>
  <c r="O178" i="52"/>
  <c r="J178" i="52"/>
  <c r="AN197" i="18" l="1"/>
  <c r="AM196" i="18"/>
  <c r="F310" i="15"/>
  <c r="D309" i="15"/>
  <c r="N50" i="18"/>
  <c r="G140" i="18" s="1"/>
  <c r="X271" i="18"/>
  <c r="O177" i="52"/>
  <c r="J177" i="52"/>
  <c r="M111" i="18" l="1"/>
  <c r="G141" i="18"/>
  <c r="AN196" i="18"/>
  <c r="AM195" i="18"/>
  <c r="F309" i="15"/>
  <c r="D308" i="15"/>
  <c r="O176" i="52"/>
  <c r="J176" i="52"/>
  <c r="AN195" i="18" l="1"/>
  <c r="AM194" i="18"/>
  <c r="F308" i="15"/>
  <c r="D307" i="15"/>
  <c r="F307" i="15" s="1"/>
  <c r="AN194" i="18" l="1"/>
  <c r="AM193" i="18"/>
  <c r="J174" i="52"/>
  <c r="X270" i="18"/>
  <c r="AN193" i="18" l="1"/>
  <c r="AM192" i="18"/>
  <c r="J168" i="52"/>
  <c r="O168" i="52"/>
  <c r="X269" i="18"/>
  <c r="AN192" i="18" l="1"/>
  <c r="AM191" i="18"/>
  <c r="AN191" i="18" s="1"/>
  <c r="O167" i="52"/>
  <c r="X268" i="18"/>
  <c r="O166" i="52" l="1"/>
  <c r="X267" i="18"/>
  <c r="X266" i="18" l="1"/>
  <c r="O165" i="52"/>
  <c r="J165" i="52"/>
  <c r="AM442" i="18" l="1"/>
  <c r="AN443" i="18"/>
  <c r="O162" i="52"/>
  <c r="J162" i="52"/>
  <c r="X26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4" i="18"/>
  <c r="AM438" i="18" l="1"/>
  <c r="AN439" i="18"/>
  <c r="X263" i="18"/>
  <c r="AN438" i="18" l="1"/>
  <c r="AM437" i="18"/>
  <c r="AM190" i="18"/>
  <c r="AM436" i="18" l="1"/>
  <c r="AN437" i="18"/>
  <c r="AM189" i="18"/>
  <c r="AN190" i="18"/>
  <c r="N159" i="52"/>
  <c r="P160" i="52" s="1"/>
  <c r="X26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9" i="18"/>
  <c r="X258" i="18"/>
  <c r="O150" i="52"/>
  <c r="AM431" i="18" l="1"/>
  <c r="AN432" i="18"/>
  <c r="AN185" i="18"/>
  <c r="AM184" i="18"/>
  <c r="AM430" i="18" l="1"/>
  <c r="AN431" i="18"/>
  <c r="AM183" i="18"/>
  <c r="AN184" i="18"/>
  <c r="Q146" i="52"/>
  <c r="J146" i="52"/>
  <c r="X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6" i="18"/>
  <c r="AN428" i="18" l="1"/>
  <c r="AM427" i="18"/>
  <c r="AN181" i="18"/>
  <c r="AM180" i="18"/>
  <c r="X255" i="18"/>
  <c r="AM426" i="18" l="1"/>
  <c r="AN427" i="18"/>
  <c r="AN180" i="18"/>
  <c r="AM179" i="18"/>
  <c r="O142" i="52"/>
  <c r="J142" i="52"/>
  <c r="X254" i="18"/>
  <c r="AM425" i="18" l="1"/>
  <c r="AN426" i="18"/>
  <c r="AN179" i="18"/>
  <c r="AM178" i="18"/>
  <c r="AN178" i="18" s="1"/>
  <c r="O140" i="52"/>
  <c r="J140" i="52"/>
  <c r="X253" i="18"/>
  <c r="AN425" i="18" l="1"/>
  <c r="AM424" i="18"/>
  <c r="X252" i="18"/>
  <c r="X251" i="18"/>
  <c r="O139" i="52"/>
  <c r="J139" i="52"/>
  <c r="AN424" i="18" l="1"/>
  <c r="AM423" i="18"/>
  <c r="X250" i="18"/>
  <c r="AN423" i="18" l="1"/>
  <c r="AM422" i="18"/>
  <c r="AN422" i="18" l="1"/>
  <c r="AM421" i="18"/>
  <c r="M41" i="52"/>
  <c r="AN421" i="18" l="1"/>
  <c r="AM420" i="18"/>
  <c r="O135" i="52"/>
  <c r="J135" i="52"/>
  <c r="AN420" i="18" l="1"/>
  <c r="AM419" i="18"/>
  <c r="AM418" i="18" l="1"/>
  <c r="AN419" i="18"/>
  <c r="X249" i="18"/>
  <c r="AM417" i="18" l="1"/>
  <c r="AN418" i="18"/>
  <c r="O132" i="52"/>
  <c r="X248" i="18"/>
  <c r="AN417" i="18" l="1"/>
  <c r="AM416" i="18"/>
  <c r="O131" i="52"/>
  <c r="J3" i="60"/>
  <c r="J4" i="60"/>
  <c r="O8" i="60"/>
  <c r="AM415" i="18" l="1"/>
  <c r="AN416" i="18"/>
  <c r="O130" i="52"/>
  <c r="O129" i="52"/>
  <c r="X247" i="18"/>
  <c r="X246" i="18"/>
  <c r="AM414" i="18" l="1"/>
  <c r="AN415" i="18"/>
  <c r="N129" i="52"/>
  <c r="AM413" i="18" l="1"/>
  <c r="AN414" i="18"/>
  <c r="O127" i="52"/>
  <c r="AM412" i="18" l="1"/>
  <c r="AN413" i="18"/>
  <c r="J126" i="52"/>
  <c r="O126" i="52"/>
  <c r="X245" i="18"/>
  <c r="AN412" i="18" l="1"/>
  <c r="AM411" i="18"/>
  <c r="O125" i="52"/>
  <c r="J125" i="52"/>
  <c r="AN411" i="18" l="1"/>
  <c r="AM410" i="18"/>
  <c r="X24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2" i="18"/>
  <c r="AN407" i="18" l="1"/>
  <c r="AM406" i="18"/>
  <c r="AN406" i="18" l="1"/>
  <c r="AM405" i="18"/>
  <c r="O121" i="52"/>
  <c r="J121" i="52"/>
  <c r="X241" i="18"/>
  <c r="AM404" i="18" l="1"/>
  <c r="AN405" i="18"/>
  <c r="X240" i="18"/>
  <c r="J120" i="52"/>
  <c r="AN404" i="18" l="1"/>
  <c r="AM403" i="18"/>
  <c r="AM402" i="18" l="1"/>
  <c r="AN403" i="18"/>
  <c r="O117" i="52"/>
  <c r="AN402" i="18" l="1"/>
  <c r="AM401" i="18"/>
  <c r="O116" i="52"/>
  <c r="N116" i="52"/>
  <c r="AN401" i="18" l="1"/>
  <c r="AM400" i="18"/>
  <c r="X23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8" i="18"/>
  <c r="J108" i="52"/>
  <c r="AN392" i="18" l="1"/>
  <c r="AM391" i="18"/>
  <c r="D303" i="15"/>
  <c r="F303" i="15" s="1"/>
  <c r="X237" i="18"/>
  <c r="X236" i="18"/>
  <c r="AN391" i="18" l="1"/>
  <c r="AM390" i="18"/>
  <c r="D302" i="15"/>
  <c r="F302" i="15" s="1"/>
  <c r="O106" i="52"/>
  <c r="J106" i="52"/>
  <c r="AM389" i="18" l="1"/>
  <c r="AN390" i="18"/>
  <c r="D301" i="15"/>
  <c r="F301" i="15" s="1"/>
  <c r="J104" i="52"/>
  <c r="E276" i="15"/>
  <c r="E277" i="15"/>
  <c r="E278" i="15"/>
  <c r="E279" i="15"/>
  <c r="E280" i="15"/>
  <c r="AM388" i="18" l="1"/>
  <c r="AN389" i="18"/>
  <c r="D300" i="15"/>
  <c r="F300" i="15" s="1"/>
  <c r="X23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4"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2" i="18"/>
  <c r="X232" i="18"/>
  <c r="X231" i="18"/>
  <c r="X230" i="18"/>
  <c r="M48" i="52"/>
  <c r="M47" i="52"/>
  <c r="N38" i="52"/>
  <c r="N37" i="52"/>
  <c r="M49" i="52"/>
  <c r="N50" i="52" s="1"/>
  <c r="AM375" i="18" l="1"/>
  <c r="AN376" i="18"/>
  <c r="D287" i="15"/>
  <c r="F287" i="15" s="1"/>
  <c r="N49" i="52"/>
  <c r="X229" i="18"/>
  <c r="AN375" i="18" l="1"/>
  <c r="AM374" i="18"/>
  <c r="D286" i="15"/>
  <c r="F286" i="15" s="1"/>
  <c r="AM373" i="18" l="1"/>
  <c r="AN374" i="18"/>
  <c r="D285" i="15"/>
  <c r="F285" i="15" s="1"/>
  <c r="X22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7" i="18"/>
  <c r="AN371" i="18" l="1"/>
  <c r="AM370" i="18"/>
  <c r="D282" i="15"/>
  <c r="F282" i="15" s="1"/>
  <c r="G32" i="57"/>
  <c r="H32" i="57"/>
  <c r="D32" i="57"/>
  <c r="I32" i="57" s="1"/>
  <c r="D345" i="20"/>
  <c r="X226" i="18"/>
  <c r="X22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4" i="18"/>
  <c r="D343" i="20"/>
  <c r="AM366" i="18" l="1"/>
  <c r="AN367" i="18"/>
  <c r="D278" i="15"/>
  <c r="F278" i="15" s="1"/>
  <c r="X223" i="18"/>
  <c r="D342" i="20"/>
  <c r="J83" i="52"/>
  <c r="O83" i="52"/>
  <c r="X222" i="18"/>
  <c r="X221" i="18"/>
  <c r="F44" i="14"/>
  <c r="F45" i="14"/>
  <c r="F46" i="14"/>
  <c r="F47" i="14"/>
  <c r="F48" i="14"/>
  <c r="F49" i="14"/>
  <c r="F50" i="14"/>
  <c r="D341" i="20"/>
  <c r="AM365" i="18" l="1"/>
  <c r="AN366" i="18"/>
  <c r="D277" i="15"/>
  <c r="F277" i="15" s="1"/>
  <c r="AN365" i="18" l="1"/>
  <c r="AM364" i="18"/>
  <c r="D276" i="15"/>
  <c r="F276" i="15" s="1"/>
  <c r="X220" i="18"/>
  <c r="AM363" i="18" l="1"/>
  <c r="AN364" i="18"/>
  <c r="D340" i="20"/>
  <c r="X219" i="18"/>
  <c r="H337" i="20"/>
  <c r="H338" i="20"/>
  <c r="H339" i="20"/>
  <c r="H340" i="20"/>
  <c r="H341" i="20"/>
  <c r="H368" i="20"/>
  <c r="H369" i="20"/>
  <c r="D339" i="20"/>
  <c r="AM362" i="18" l="1"/>
  <c r="AN363" i="18"/>
  <c r="B371" i="20"/>
  <c r="D332" i="20"/>
  <c r="D333" i="20"/>
  <c r="D334" i="20"/>
  <c r="D335" i="20"/>
  <c r="D336" i="20"/>
  <c r="D337" i="20"/>
  <c r="D338" i="20"/>
  <c r="D369" i="20"/>
  <c r="AM361" i="18" l="1"/>
  <c r="AN362" i="18"/>
  <c r="X218" i="18"/>
  <c r="D80" i="57"/>
  <c r="AM360" i="18" l="1"/>
  <c r="AN361" i="18"/>
  <c r="G46" i="10"/>
  <c r="AM359" i="18" l="1"/>
  <c r="AN360" i="18"/>
  <c r="D331" i="20"/>
  <c r="AM358" i="18" l="1"/>
  <c r="AN359" i="18"/>
  <c r="D330" i="20"/>
  <c r="AM357" i="18" l="1"/>
  <c r="AN358" i="18"/>
  <c r="X217" i="18"/>
  <c r="X21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5" i="18"/>
  <c r="X214" i="18"/>
  <c r="AM345" i="18" l="1"/>
  <c r="AN346" i="18"/>
  <c r="S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3" i="18"/>
  <c r="X212" i="18"/>
  <c r="N36" i="52"/>
  <c r="N35" i="52"/>
  <c r="Q42" i="52"/>
  <c r="AM343" i="18" l="1"/>
  <c r="AN344" i="18"/>
  <c r="X211" i="18"/>
  <c r="X21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9" i="18"/>
  <c r="X208" i="18"/>
  <c r="N32" i="52"/>
  <c r="N31" i="52"/>
  <c r="AM338" i="18" l="1"/>
  <c r="AN338" i="18" s="1"/>
  <c r="AN339" i="18"/>
  <c r="X207" i="18"/>
  <c r="X206" i="18"/>
  <c r="N30" i="52"/>
  <c r="N29" i="52"/>
  <c r="X205" i="18" l="1"/>
  <c r="X204" i="18"/>
  <c r="N28" i="52"/>
  <c r="N27" i="52"/>
  <c r="AM337" i="18" l="1"/>
  <c r="D313" i="20"/>
  <c r="AM336" i="18" l="1"/>
  <c r="AN337" i="18"/>
  <c r="L117" i="18"/>
  <c r="L113" i="18" l="1"/>
  <c r="N113" i="18" s="1"/>
  <c r="L114" i="18"/>
  <c r="N114" i="18" s="1"/>
  <c r="L112" i="18"/>
  <c r="N112" i="18" s="1"/>
  <c r="M117" i="18"/>
  <c r="AN336" i="18"/>
  <c r="AM335" i="18"/>
  <c r="L109" i="18"/>
  <c r="X203" i="18"/>
  <c r="X202"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1" i="18"/>
  <c r="X200" i="18"/>
  <c r="N23" i="52"/>
  <c r="N22" i="52"/>
  <c r="I368" i="20" l="1"/>
  <c r="G367" i="20"/>
  <c r="J368" i="20"/>
  <c r="K368" i="20"/>
  <c r="AM332" i="18"/>
  <c r="AN333" i="18"/>
  <c r="X199" i="18"/>
  <c r="X19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7" i="18"/>
  <c r="X19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5" i="18"/>
  <c r="X194" i="18"/>
  <c r="N17" i="52"/>
  <c r="N16" i="52"/>
  <c r="AM170" i="18" l="1"/>
  <c r="AN171" i="18"/>
  <c r="I356" i="20"/>
  <c r="G355" i="20"/>
  <c r="J356" i="20"/>
  <c r="K356" i="20"/>
  <c r="L110" i="18"/>
  <c r="AM169" i="18" l="1"/>
  <c r="AM168" i="18" s="1"/>
  <c r="AN170" i="18"/>
  <c r="J355" i="20"/>
  <c r="I355" i="20"/>
  <c r="G354" i="20"/>
  <c r="K355" i="20"/>
  <c r="X193" i="18"/>
  <c r="X192" i="18"/>
  <c r="D303" i="20"/>
  <c r="D302" i="20"/>
  <c r="X191"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9" i="18"/>
  <c r="AM163" i="18" l="1"/>
  <c r="AN164" i="18"/>
  <c r="I350" i="20"/>
  <c r="J350" i="20"/>
  <c r="K350" i="20"/>
  <c r="G349" i="20"/>
  <c r="D296" i="20"/>
  <c r="D295" i="20"/>
  <c r="AN163" i="18" l="1"/>
  <c r="AM162" i="18"/>
  <c r="K349" i="20"/>
  <c r="I349" i="20"/>
  <c r="J349" i="20"/>
  <c r="G348" i="20"/>
  <c r="X188" i="18"/>
  <c r="X18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6" i="18"/>
  <c r="X185" i="18"/>
  <c r="AN161" i="18" l="1"/>
  <c r="AM160" i="18"/>
  <c r="G346" i="20"/>
  <c r="J347" i="20"/>
  <c r="I347" i="20"/>
  <c r="K347" i="20"/>
  <c r="D293" i="20"/>
  <c r="AM159" i="18" l="1"/>
  <c r="AN160" i="18"/>
  <c r="K346" i="20"/>
  <c r="G345" i="20"/>
  <c r="J346" i="20"/>
  <c r="I346" i="20"/>
  <c r="X184" i="18"/>
  <c r="AN159" i="18" l="1"/>
  <c r="AM158" i="18"/>
  <c r="K345" i="20"/>
  <c r="G344" i="20"/>
  <c r="J345" i="20"/>
  <c r="I345" i="20"/>
  <c r="D292" i="20"/>
  <c r="C8" i="36"/>
  <c r="X18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9" i="18"/>
  <c r="AN124" i="18" l="1"/>
  <c r="AM123" i="18"/>
  <c r="AN123" i="18" l="1"/>
  <c r="AM122" i="18"/>
  <c r="AM121" i="18" l="1"/>
  <c r="AN122" i="18"/>
  <c r="X173" i="18"/>
  <c r="X174" i="18"/>
  <c r="X175" i="18"/>
  <c r="X176" i="18"/>
  <c r="X177" i="18"/>
  <c r="X178" i="18"/>
  <c r="X190" i="18"/>
  <c r="X172" i="18"/>
  <c r="AN121" i="18" l="1"/>
  <c r="AM120" i="18"/>
  <c r="N56" i="18"/>
  <c r="S173" i="18" l="1"/>
  <c r="AN120" i="18"/>
  <c r="AM119" i="18"/>
  <c r="AN119" i="18" l="1"/>
  <c r="AM118" i="18"/>
  <c r="T81" i="18"/>
  <c r="T82" i="18" s="1"/>
  <c r="S178" i="18"/>
  <c r="S176" i="18"/>
  <c r="D57" i="51"/>
  <c r="T83" i="18" l="1"/>
  <c r="T84" i="18" s="1"/>
  <c r="T85" i="18" s="1"/>
  <c r="AM117" i="18"/>
  <c r="AN118" i="18"/>
  <c r="AN117" i="18" l="1"/>
  <c r="AM116" i="18"/>
  <c r="T86" i="18"/>
  <c r="T87" i="18" s="1"/>
  <c r="N36" i="18"/>
  <c r="S175" i="18" l="1"/>
  <c r="R104"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9"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4" i="18"/>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9" i="18"/>
  <c r="W542" i="18" s="1"/>
  <c r="V552" i="18"/>
  <c r="W552" i="18" s="1"/>
  <c r="G304" i="20"/>
  <c r="I305" i="20"/>
  <c r="K305" i="20"/>
  <c r="J305" i="20"/>
  <c r="AM73" i="18"/>
  <c r="AN74" i="18"/>
  <c r="S108" i="18"/>
  <c r="W145" i="18" s="1"/>
  <c r="X145" i="18" l="1"/>
  <c r="Y145" i="18"/>
  <c r="W73" i="18"/>
  <c r="W144" i="18"/>
  <c r="W142" i="18"/>
  <c r="X142" i="18" s="1"/>
  <c r="W143" i="18"/>
  <c r="W72" i="18"/>
  <c r="W141" i="18"/>
  <c r="W71" i="18"/>
  <c r="W140" i="18"/>
  <c r="Y140" i="18" s="1"/>
  <c r="W70" i="18"/>
  <c r="W69" i="18"/>
  <c r="W139" i="18"/>
  <c r="X139" i="18" s="1"/>
  <c r="W68" i="18"/>
  <c r="W138" i="18"/>
  <c r="W67" i="18"/>
  <c r="W66" i="18"/>
  <c r="W99" i="18"/>
  <c r="W98" i="18"/>
  <c r="W137" i="18"/>
  <c r="W65" i="18"/>
  <c r="W63" i="18"/>
  <c r="X63" i="18" s="1"/>
  <c r="W64" i="18"/>
  <c r="W136" i="18"/>
  <c r="W135" i="18"/>
  <c r="W147" i="18"/>
  <c r="W62" i="18"/>
  <c r="W75" i="18"/>
  <c r="W134" i="18"/>
  <c r="X134" i="18" s="1"/>
  <c r="W132" i="18"/>
  <c r="X132" i="18" s="1"/>
  <c r="W133" i="18"/>
  <c r="W131" i="18"/>
  <c r="W129" i="18"/>
  <c r="X129" i="18" s="1"/>
  <c r="W130" i="18"/>
  <c r="W61" i="18"/>
  <c r="X61" i="18" s="1"/>
  <c r="W128" i="18"/>
  <c r="W14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8" i="18"/>
  <c r="X160"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Y142" i="18" l="1"/>
  <c r="X144" i="18"/>
  <c r="Y144" i="18"/>
  <c r="X73" i="18"/>
  <c r="Y73" i="18"/>
  <c r="Y143" i="18"/>
  <c r="X143" i="18"/>
  <c r="X141" i="18"/>
  <c r="Y141" i="18"/>
  <c r="X72" i="18"/>
  <c r="Y72" i="18"/>
  <c r="X71" i="18"/>
  <c r="Y71" i="18"/>
  <c r="X140" i="18"/>
  <c r="X70" i="18"/>
  <c r="Y70" i="18"/>
  <c r="X69" i="18"/>
  <c r="Y69" i="18"/>
  <c r="Y139" i="18"/>
  <c r="X68" i="18"/>
  <c r="Y68" i="18"/>
  <c r="X67" i="18"/>
  <c r="Y67" i="18"/>
  <c r="X138" i="18"/>
  <c r="Y138" i="18"/>
  <c r="X66" i="18"/>
  <c r="Y66" i="18"/>
  <c r="X98" i="18"/>
  <c r="Y98" i="18"/>
  <c r="X99" i="18"/>
  <c r="Y99" i="18"/>
  <c r="X137" i="18"/>
  <c r="Y137" i="18"/>
  <c r="X65" i="18"/>
  <c r="Y65" i="18"/>
  <c r="Y63" i="18"/>
  <c r="X64" i="18"/>
  <c r="Y64" i="18"/>
  <c r="Y136" i="18"/>
  <c r="X136" i="18"/>
  <c r="Y135" i="18"/>
  <c r="X135" i="18"/>
  <c r="Y147" i="18"/>
  <c r="X147" i="18"/>
  <c r="X75" i="18"/>
  <c r="Y75" i="18"/>
  <c r="X62" i="18"/>
  <c r="Y62" i="18"/>
  <c r="Y134" i="18"/>
  <c r="Y132" i="18"/>
  <c r="Y133" i="18"/>
  <c r="X133" i="18"/>
  <c r="Y129" i="18"/>
  <c r="Y131" i="18"/>
  <c r="X131" i="18"/>
  <c r="X130" i="18"/>
  <c r="Y130" i="18"/>
  <c r="Y61" i="18"/>
  <c r="X128" i="18"/>
  <c r="Y128" i="18"/>
  <c r="X148" i="18"/>
  <c r="Y14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4"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9" i="18"/>
  <c r="G142" i="18" s="1"/>
  <c r="G302" i="20"/>
  <c r="K303" i="20"/>
  <c r="I303" i="20"/>
  <c r="J303" i="20"/>
  <c r="Y26" i="18"/>
  <c r="X86" i="18"/>
  <c r="Y86" i="18"/>
  <c r="X25" i="18"/>
  <c r="Y25" i="18"/>
  <c r="Y24" i="18"/>
  <c r="X85" i="18"/>
  <c r="Y85" i="18"/>
  <c r="X23" i="18"/>
  <c r="X84" i="18"/>
  <c r="Y84" i="18"/>
  <c r="X83" i="18"/>
  <c r="Y83" i="18"/>
  <c r="X157" i="18"/>
  <c r="Y82" i="18"/>
  <c r="X82" i="18"/>
  <c r="X22" i="18"/>
  <c r="Y22" i="18"/>
  <c r="X20" i="18"/>
  <c r="Y20" i="18"/>
  <c r="X112" i="18"/>
  <c r="Y112" i="18"/>
  <c r="X21" i="18"/>
  <c r="Y21" i="18"/>
  <c r="AM71" i="18"/>
  <c r="AN72" i="18"/>
  <c r="X163" i="18" l="1"/>
  <c r="Y157" i="18" s="1"/>
  <c r="X165" i="18"/>
  <c r="X166" i="18" s="1"/>
  <c r="L34" i="18" s="1"/>
  <c r="N64" i="18"/>
  <c r="I142" i="18"/>
  <c r="I143" i="18"/>
  <c r="G143" i="18"/>
  <c r="G301" i="20"/>
  <c r="I302" i="20"/>
  <c r="K302" i="20"/>
  <c r="J302" i="20"/>
  <c r="AM70" i="18"/>
  <c r="AN71" i="18"/>
  <c r="Y160" i="18" l="1"/>
  <c r="Y158" i="18"/>
  <c r="Y159"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<sst xmlns="http://schemas.openxmlformats.org/spreadsheetml/2006/main" count="17063" uniqueCount="7121">
  <si>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</si>
  <si>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</si>
  <si>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</si>
  <si>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</si>
  <si>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</si>
  <si>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</si>
  <si>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</si>
  <si>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</si>
  <si>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</si>
  <si>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</si>
  <si>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</si>
  <si>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</si>
  <si>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</si>
  <si>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</si>
  <si>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</si>
  <si>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</si>
  <si>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</si>
  <si>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</si>
  <si>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</si>
  <si>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</si>
  <si>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</si>
  <si>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</si>
  <si>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</si>
  <si>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</si>
  <si>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</si>
  <si>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</si>
  <si>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</si>
  <si>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</si>
  <si>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</si>
  <si>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</si>
  <si>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</si>
  <si>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</si>
  <si>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</si>
  <si>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</si>
  <si>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</si>
  <si>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</si>
  <si>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</si>
  <si>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</si>
  <si>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</si>
  <si>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</si>
  <si>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</si>
  <si>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</si>
  <si>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</si>
  <si>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</si>
  <si>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</si>
  <si>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</si>
  <si>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</si>
  <si>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</si>
  <si>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</si>
  <si>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</si>
  <si>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</si>
  <si>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</si>
  <si>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</si>
  <si>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</si>
  <si>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</si>
  <si>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</si>
  <si>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</si>
  <si>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</si>
  <si>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</si>
  <si>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</si>
  <si>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</si>
  <si>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</si>
  <si>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</si>
  <si>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</si>
  <si>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</si>
  <si>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</si>
  <si>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</si>
  <si>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</si>
  <si>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</si>
  <si>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</si>
  <si>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</si>
  <si>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</si>
  <si>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</si>
  <si>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</si>
  <si>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</si>
  <si>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</si>
  <si>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</si>
  <si>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</si>
  <si>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</si>
  <si>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</si>
  <si>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</si>
  <si>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</si>
  <si>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</si>
  <si>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</si>
  <si>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</si>
  <si>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</si>
  <si>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</si>
  <si>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</si>
  <si>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</si>
  <si>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</si>
  <si>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</si>
  <si>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</si>
  <si>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</si>
  <si>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</si>
  <si>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</si>
  <si>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</si>
  <si>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</si>
  <si>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</si>
  <si>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</si>
  <si>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</si>
  <si>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</si>
  <si>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</si>
  <si>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</si>
  <si>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</si>
  <si>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</si>
  <si>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</si>
  <si>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</si>
  <si>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</si>
  <si>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</si>
  <si>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</si>
  <si>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</si>
  <si>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</si>
  <si>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</si>
  <si>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</si>
  <si>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</si>
  <si>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</si>
  <si>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</si>
  <si>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</si>
  <si>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</si>
  <si>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</si>
  <si>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</si>
  <si>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</si>
  <si>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</si>
  <si>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</si>
  <si>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</si>
  <si>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</si>
  <si>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</si>
  <si>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</si>
  <si>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</si>
  <si>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</si>
  <si>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</si>
  <si>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</si>
  <si>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</si>
  <si>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</si>
  <si>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</si>
  <si>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</si>
  <si>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</si>
  <si>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</si>
  <si>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</si>
  <si>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</si>
  <si>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</si>
  <si>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</si>
  <si>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</si>
  <si>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</si>
  <si>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</si>
  <si>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</si>
  <si>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</si>
  <si>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</si>
  <si>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</si>
  <si>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</si>
  <si>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</si>
  <si>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</si>
  <si>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</si>
  <si>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</si>
  <si>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</si>
  <si>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</si>
  <si>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</si>
  <si>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</si>
  <si>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</si>
  <si>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</si>
  <si>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</si>
  <si>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</si>
  <si>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</si>
  <si>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</si>
  <si>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</si>
  <si>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</si>
  <si>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</si>
  <si>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</si>
  <si>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</si>
  <si>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</si>
  <si>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</si>
  <si>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</si>
  <si>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</si>
  <si>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</si>
  <si>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</si>
  <si>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</si>
  <si>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</si>
  <si>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</si>
  <si>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</si>
  <si>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</si>
  <si>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</si>
  <si>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</si>
  <si>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</si>
  <si>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</si>
  <si>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</si>
  <si>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</si>
  <si>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</si>
  <si>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</si>
  <si>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</si>
  <si>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</si>
  <si>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</si>
  <si>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</si>
  <si>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</si>
  <si>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</si>
  <si>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</si>
  <si>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</si>
  <si>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</si>
  <si>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</si>
  <si>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</si>
  <si>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</si>
  <si>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</si>
  <si>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</si>
  <si>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</si>
  <si>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</si>
  <si>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</si>
  <si>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</si>
  <si>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</si>
  <si>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</si>
  <si>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</si>
  <si>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</si>
  <si>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</si>
  <si>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</si>
  <si>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</si>
  <si>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</si>
  <si>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</si>
  <si>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</si>
  <si>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</si>
  <si>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</si>
  <si>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</si>
  <si>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</si>
  <si>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</si>
  <si>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</si>
  <si>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</si>
  <si>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</si>
  <si>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</si>
  <si>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</si>
  <si>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</si>
  <si>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</si>
  <si>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</si>
  <si>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</si>
  <si>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</si>
  <si>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</si>
  <si>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</si>
  <si>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</si>
  <si>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</si>
  <si>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</si>
  <si>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</si>
  <si>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</si>
  <si>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</si>
  <si>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</si>
  <si>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</si>
  <si>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</si>
  <si>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</si>
  <si>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</si>
  <si>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</si>
  <si>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</si>
  <si>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</si>
  <si>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</si>
  <si>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</si>
  <si>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</si>
  <si>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</si>
  <si>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</si>
  <si>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</si>
  <si>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</si>
  <si>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</si>
  <si>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</si>
  <si>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</si>
  <si>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</si>
  <si>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</si>
  <si>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</si>
  <si>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</si>
  <si>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</si>
  <si>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</si>
  <si>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</si>
  <si>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</si>
  <si>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</si>
  <si>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</si>
  <si>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</si>
  <si>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</si>
  <si>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</si>
  <si>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</si>
  <si>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</si>
  <si>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</si>
  <si>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</si>
  <si>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</si>
  <si>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</si>
  <si>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</si>
  <si>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</si>
  <si>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</si>
  <si>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</si>
  <si>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</si>
  <si>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</si>
  <si>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</si>
  <si>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</si>
  <si>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</si>
  <si>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</si>
  <si>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</si>
  <si>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</si>
  <si>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</si>
  <si>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</si>
  <si>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</si>
  <si>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</si>
  <si>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</si>
  <si>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</si>
  <si>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</si>
  <si>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</si>
  <si>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</si>
  <si>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</si>
  <si>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</si>
  <si>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</si>
  <si>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</si>
  <si>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</si>
  <si>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</si>
  <si>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</si>
  <si>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</si>
  <si>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</si>
  <si>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</si>
  <si>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</si>
  <si>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</si>
  <si>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</si>
  <si>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</si>
  <si>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</si>
  <si>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</si>
  <si>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</si>
  <si>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</si>
  <si>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</si>
  <si>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</si>
  <si>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</si>
  <si>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</si>
  <si>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</si>
  <si>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</si>
  <si>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</si>
  <si>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</si>
  <si>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</si>
  <si>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</si>
  <si>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</si>
  <si>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</si>
  <si>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</si>
  <si>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</si>
  <si>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</si>
  <si>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</si>
  <si>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</si>
  <si>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</si>
  <si>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</si>
  <si>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</si>
  <si>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</si>
  <si>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</si>
  <si>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</si>
  <si>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</si>
  <si>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</si>
  <si>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</si>
  <si>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</si>
  <si>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</si>
  <si>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</si>
  <si>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</si>
  <si>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</si>
  <si>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</si>
  <si>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</si>
  <si>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</si>
  <si>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</si>
  <si>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</si>
  <si>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</si>
  <si>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</si>
  <si>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</si>
  <si>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</si>
  <si>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</si>
  <si>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</si>
  <si>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</si>
  <si>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</si>
  <si>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</si>
  <si>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</si>
  <si>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</si>
  <si>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</si>
  <si>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</si>
  <si>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</si>
  <si>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</si>
  <si>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</si>
  <si>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</si>
  <si>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</si>
  <si>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</si>
  <si>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</si>
  <si>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</si>
  <si>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</si>
  <si>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</si>
  <si>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</si>
  <si>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</si>
  <si>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</si>
  <si>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</si>
  <si>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</si>
  <si>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</si>
  <si>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</si>
  <si>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</si>
  <si>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</si>
  <si>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</si>
  <si>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</si>
  <si>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</si>
  <si>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</si>
  <si>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</si>
  <si>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</si>
  <si>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</si>
  <si>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</si>
  <si>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</si>
  <si>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</si>
  <si>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</si>
  <si>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</si>
  <si>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</si>
  <si>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</si>
  <si>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</si>
  <si>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</si>
  <si>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</si>
  <si>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</si>
  <si>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</si>
  <si>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</si>
  <si>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</si>
  <si>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</si>
  <si>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</si>
  <si>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</si>
  <si>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</si>
  <si>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</si>
  <si>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</si>
  <si>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</si>
  <si>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</si>
  <si>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</si>
  <si>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</si>
  <si>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</si>
  <si>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</si>
  <si>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</si>
  <si>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</si>
  <si>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</si>
  <si>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</si>
  <si>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</si>
  <si>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</si>
  <si>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</si>
  <si>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</si>
  <si>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</si>
  <si>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</si>
  <si>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</si>
  <si>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</si>
  <si>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</si>
  <si>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</si>
  <si>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</si>
  <si>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</si>
  <si>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</si>
  <si>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</si>
  <si>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</si>
  <si>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</si>
  <si>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</si>
  <si>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</si>
  <si>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</si>
  <si>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</si>
  <si>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</si>
  <si>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</si>
  <si>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</si>
  <si>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</si>
  <si>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</si>
  <si>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</si>
  <si>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</si>
  <si>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</si>
  <si>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</si>
  <si>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</si>
  <si>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</si>
  <si>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</si>
  <si>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</si>
  <si>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</si>
  <si>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</si>
  <si>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</si>
  <si>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</si>
  <si>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</si>
  <si>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</si>
  <si>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</si>
  <si>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</si>
  <si>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</si>
  <si>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</si>
  <si>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</si>
  <si>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</si>
  <si>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</si>
  <si>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</si>
  <si>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</si>
  <si>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</si>
  <si>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</si>
  <si>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</si>
  <si>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</si>
  <si>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</si>
  <si>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</si>
  <si>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</si>
  <si>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</si>
  <si>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</si>
  <si>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</si>
  <si>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</si>
  <si>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</si>
  <si>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</si>
  <si>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</si>
  <si>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</si>
  <si>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</si>
  <si>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</si>
  <si>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</si>
  <si>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</si>
  <si>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</si>
  <si>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</si>
  <si>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</si>
  <si>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</si>
  <si>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</si>
  <si>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</si>
  <si>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</si>
  <si>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</si>
  <si>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</si>
  <si>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</si>
  <si>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</si>
  <si>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</si>
  <si>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</si>
  <si>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</si>
  <si>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</si>
  <si>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</si>
  <si>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</si>
  <si>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</si>
  <si>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</si>
  <si>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</si>
  <si>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</si>
  <si>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</si>
  <si>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</si>
  <si>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</si>
  <si>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</si>
  <si>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</si>
  <si>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</si>
  <si>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</si>
  <si>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</si>
  <si>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</si>
  <si>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</si>
  <si>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</si>
  <si>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</si>
  <si>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</si>
  <si>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</si>
  <si>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</si>
  <si>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</si>
  <si>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</si>
  <si>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</si>
  <si>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</si>
  <si>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</si>
  <si>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</si>
  <si>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</si>
  <si>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</si>
  <si>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</si>
  <si>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</si>
  <si>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</si>
  <si>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</si>
  <si>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</si>
  <si>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</si>
  <si>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</si>
  <si>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</si>
  <si>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</si>
  <si>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</si>
  <si>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</si>
  <si>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</si>
  <si>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</si>
  <si>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</si>
  <si>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</si>
  <si>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</si>
  <si>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</si>
  <si>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</si>
  <si>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</si>
  <si>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</si>
  <si>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</si>
  <si>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</si>
  <si>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</si>
  <si>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</si>
  <si>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</si>
  <si>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</si>
  <si>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</si>
  <si>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</si>
  <si>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</si>
  <si>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</si>
  <si>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</si>
  <si>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</si>
  <si>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</si>
  <si>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</si>
  <si>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</si>
  <si>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</si>
  <si>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</si>
  <si>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</si>
  <si>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</si>
  <si>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</si>
  <si>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</si>
  <si>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</si>
  <si>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</si>
  <si>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</si>
  <si>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</si>
  <si>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</si>
  <si>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</si>
  <si>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</si>
  <si>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</si>
  <si>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</si>
  <si>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</si>
  <si>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</si>
  <si>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</si>
  <si>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</si>
  <si>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</si>
  <si>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</si>
  <si>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</si>
  <si>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</si>
  <si>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</si>
  <si>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</si>
  <si>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</si>
  <si>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</si>
  <si>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</si>
  <si>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</si>
  <si>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</si>
  <si>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</si>
  <si>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</si>
  <si>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</si>
  <si>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</si>
  <si>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</si>
  <si>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</si>
  <si>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</si>
  <si>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</si>
  <si>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</si>
  <si>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</si>
  <si>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</si>
  <si>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</si>
  <si>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</si>
  <si>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</si>
  <si>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</si>
  <si>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</si>
  <si>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</si>
  <si>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</si>
  <si>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</si>
  <si>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</si>
  <si>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</si>
  <si>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</si>
  <si>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</si>
  <si>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</si>
  <si>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</si>
  <si>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</si>
  <si>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</si>
  <si>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</si>
  <si>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</si>
  <si>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</si>
  <si>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</si>
  <si>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</si>
  <si>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</si>
  <si>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</si>
  <si>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</si>
  <si>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</si>
  <si>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</si>
  <si>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</si>
  <si>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</si>
  <si>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</si>
  <si>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</si>
  <si>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</si>
  <si>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</si>
  <si>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</si>
  <si>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</si>
  <si>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</si>
  <si>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</si>
  <si>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</si>
  <si>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</si>
  <si>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</si>
  <si>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</si>
  <si>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</si>
  <si>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</si>
  <si>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</si>
  <si>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</si>
  <si>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</si>
  <si>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</si>
  <si>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</si>
  <si>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</si>
  <si>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</si>
  <si>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</si>
  <si>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</si>
  <si>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</si>
  <si>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</si>
  <si>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</si>
  <si>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</si>
  <si>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</si>
  <si>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</si>
  <si>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</si>
  <si>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</si>
  <si>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</si>
  <si>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</si>
  <si>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</si>
  <si>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</si>
  <si>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</si>
  <si>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</si>
  <si>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</si>
  <si>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</si>
  <si>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</si>
  <si>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</si>
  <si>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</si>
  <si>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</si>
  <si>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</si>
  <si>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</si>
  <si>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</si>
  <si>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</si>
  <si>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</si>
  <si>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</si>
  <si>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</si>
  <si>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</si>
  <si>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</si>
  <si>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</si>
  <si>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</si>
  <si>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</si>
  <si>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</si>
  <si>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</si>
  <si>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</si>
  <si>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</si>
  <si>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</si>
  <si>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</si>
  <si>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</si>
  <si>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</si>
  <si>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</si>
  <si>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</si>
  <si>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</si>
  <si>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</si>
  <si>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</si>
  <si>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</si>
  <si>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</si>
  <si>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</si>
  <si>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</si>
  <si>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</si>
  <si>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</si>
  <si>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</si>
  <si>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</si>
  <si>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</si>
  <si>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</si>
  <si>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</si>
  <si>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</si>
  <si>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</si>
  <si>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</si>
  <si>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</si>
  <si>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</si>
  <si>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</si>
  <si>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</si>
  <si>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</si>
  <si>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</si>
  <si>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</si>
  <si>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</si>
  <si>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</si>
  <si>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</si>
  <si>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</si>
  <si>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</si>
  <si>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</si>
  <si>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</si>
  <si>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</si>
  <si>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</si>
  <si>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</si>
  <si>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</si>
  <si>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</si>
  <si>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</si>
  <si>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</si>
  <si>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</si>
  <si>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</si>
  <si>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</si>
  <si>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</si>
  <si>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</si>
  <si>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</si>
  <si>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</si>
  <si>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</si>
  <si>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</si>
  <si>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</si>
  <si>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</si>
  <si>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</si>
  <si>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</si>
  <si>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</si>
  <si>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</si>
  <si>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</si>
  <si>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</si>
  <si>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</si>
  <si>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</si>
  <si>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</si>
  <si>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</si>
  <si>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</si>
  <si>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</si>
  <si>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</si>
  <si>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</si>
  <si>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</si>
  <si>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</si>
  <si>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</si>
  <si>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</si>
  <si>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</si>
  <si>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</si>
  <si>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</si>
  <si>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</si>
  <si>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</si>
  <si>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</si>
  <si>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</si>
  <si>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</si>
  <si>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</si>
  <si>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</si>
  <si>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</si>
  <si>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</si>
  <si>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</si>
  <si>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</si>
  <si>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</si>
  <si>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</si>
  <si>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</si>
  <si>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</si>
  <si>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</si>
  <si>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</si>
  <si>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</si>
  <si>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</si>
  <si>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</si>
  <si>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</si>
  <si>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</si>
  <si>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</si>
  <si>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</si>
  <si>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</si>
  <si>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</si>
  <si>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</si>
  <si>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</si>
  <si>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</si>
  <si>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</si>
  <si>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</si>
  <si>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</si>
  <si>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</si>
  <si>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</si>
  <si>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</si>
  <si>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</si>
  <si>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</si>
  <si>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</si>
  <si>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</si>
  <si>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</si>
  <si>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</si>
  <si>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</si>
  <si>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</si>
  <si>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</si>
  <si>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</si>
  <si>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</si>
  <si>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</si>
  <si>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</si>
  <si>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</si>
  <si>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</si>
  <si>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</si>
  <si>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</si>
  <si>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</si>
  <si>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</si>
  <si>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</si>
  <si>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</si>
  <si>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</si>
  <si>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</si>
  <si>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</si>
  <si>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</si>
  <si>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</si>
  <si>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</si>
  <si>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</si>
  <si>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</si>
  <si>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</si>
  <si>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</si>
  <si>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</si>
  <si>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</si>
  <si>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</si>
  <si>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</si>
  <si>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</si>
  <si>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</si>
  <si>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</si>
  <si>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</si>
  <si>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</si>
  <si>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</si>
  <si>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</si>
  <si>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</si>
  <si>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</si>
  <si>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</si>
  <si>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</si>
  <si>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</si>
  <si>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</si>
  <si>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</si>
  <si>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</si>
  <si>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</si>
  <si>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</si>
  <si>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</si>
  <si>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</si>
  <si>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</si>
  <si>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</si>
  <si>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</si>
  <si>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</si>
  <si>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</si>
  <si>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</si>
  <si>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</si>
  <si>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</si>
  <si>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</si>
  <si>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</si>
  <si>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</si>
  <si>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</si>
  <si>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</si>
  <si>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</si>
  <si>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</si>
  <si>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</si>
  <si>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</si>
  <si>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</si>
  <si>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</si>
  <si>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</si>
  <si>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</si>
  <si>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</si>
  <si>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</si>
  <si>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</si>
  <si>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</si>
  <si>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</si>
  <si>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</si>
  <si>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</si>
  <si>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</si>
  <si>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</si>
  <si>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</si>
  <si>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</si>
  <si>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</si>
  <si>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</si>
  <si>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</si>
  <si>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</si>
  <si>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</si>
  <si>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</si>
  <si>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</si>
  <si>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</si>
  <si>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</si>
  <si>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</si>
  <si>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</si>
  <si>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</si>
  <si>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</si>
  <si>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</si>
  <si>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</si>
  <si>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</si>
  <si>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</si>
  <si>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</si>
  <si>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</si>
  <si>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</si>
  <si>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</si>
  <si>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</si>
  <si>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</si>
  <si>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</si>
  <si>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</si>
  <si>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</si>
  <si>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</si>
  <si>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</si>
  <si>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</si>
  <si>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</si>
  <si>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</si>
  <si>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</si>
  <si>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</si>
  <si>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</si>
  <si>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</si>
  <si>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</si>
  <si>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</si>
  <si>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</si>
  <si>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</si>
  <si>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</si>
  <si>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</si>
  <si>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</si>
  <si>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</si>
  <si>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</si>
  <si>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</si>
  <si>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</si>
  <si>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</si>
  <si>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</si>
  <si>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</si>
  <si>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</si>
  <si>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</si>
  <si>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</si>
  <si>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</si>
  <si>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</si>
  <si>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</si>
  <si>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</si>
  <si>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</si>
  <si>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</si>
  <si>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</si>
  <si>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</si>
  <si>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</si>
  <si>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</si>
  <si>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</si>
  <si>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</si>
  <si>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</si>
  <si>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</si>
  <si>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</si>
  <si>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</si>
  <si>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</si>
  <si>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</si>
  <si>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</si>
  <si>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</si>
  <si>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</si>
  <si>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</si>
  <si>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</si>
  <si>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</si>
  <si>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</si>
  <si>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</si>
  <si>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</si>
  <si>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</si>
  <si>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</si>
  <si>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</si>
  <si>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</si>
  <si>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</si>
  <si>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</si>
  <si>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</si>
  <si>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</si>
  <si>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</si>
  <si>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</si>
  <si>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</si>
  <si>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</si>
  <si>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</si>
  <si>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</si>
  <si>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</si>
  <si>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</si>
  <si>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</si>
  <si>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</si>
  <si>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</si>
  <si>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</si>
  <si>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</si>
  <si>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</si>
  <si>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</si>
  <si>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</si>
  <si>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</si>
  <si>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</si>
  <si>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</si>
  <si>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</si>
  <si>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</si>
  <si>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</si>
  <si>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</si>
  <si>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</si>
  <si>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</si>
  <si>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</si>
  <si>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</si>
  <si>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</si>
  <si>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</si>
  <si>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</si>
  <si>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</si>
  <si>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</si>
  <si>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</si>
  <si>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</si>
  <si>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</si>
  <si>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</si>
  <si>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</si>
  <si>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</si>
  <si>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</si>
  <si>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</si>
  <si>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</si>
  <si>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</si>
  <si>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</si>
  <si>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</si>
  <si>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</si>
  <si>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</si>
  <si>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</si>
  <si>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</si>
  <si>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</si>
  <si>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</si>
  <si>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</si>
  <si>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</si>
  <si>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</si>
  <si>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</si>
  <si>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</si>
  <si>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</si>
  <si>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</si>
  <si>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</si>
  <si>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</si>
  <si>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</si>
  <si>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</si>
  <si>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</si>
  <si>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</si>
  <si>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</si>
  <si>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</si>
  <si>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</si>
  <si>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</si>
  <si>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</si>
  <si>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</si>
  <si>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</si>
  <si>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</si>
  <si>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</si>
  <si>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</si>
  <si>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</si>
  <si>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</si>
  <si>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</si>
  <si>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</si>
  <si>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</si>
  <si>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</si>
  <si>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</si>
  <si>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</si>
  <si>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</si>
  <si>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</si>
  <si>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</si>
  <si>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</si>
  <si>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</si>
  <si>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</si>
  <si>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</si>
  <si>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</si>
  <si>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</si>
  <si>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</si>
  <si>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</si>
  <si>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</si>
  <si>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</si>
  <si>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</si>
  <si>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</si>
  <si>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</si>
  <si>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</si>
  <si>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</si>
  <si>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</si>
  <si>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</si>
  <si>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</si>
  <si>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</si>
  <si>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</si>
  <si>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</si>
  <si>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</si>
  <si>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</si>
  <si>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</si>
  <si>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</si>
  <si>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</si>
  <si>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</si>
  <si>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</si>
  <si>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</si>
  <si>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</si>
  <si>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</si>
  <si>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</si>
  <si>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</si>
  <si>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</si>
  <si>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</si>
  <si>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</si>
  <si>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</si>
  <si>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</si>
  <si>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</si>
  <si>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</si>
  <si>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</si>
  <si>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</si>
  <si>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</si>
  <si>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</si>
  <si>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</si>
  <si>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</si>
  <si>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</si>
  <si>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</si>
  <si>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</si>
  <si>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</si>
  <si>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</si>
  <si>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</si>
  <si>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</si>
  <si>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</si>
  <si>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</si>
  <si>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</si>
  <si>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</si>
  <si>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</si>
  <si>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</si>
  <si>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</si>
  <si>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</si>
  <si>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</si>
  <si>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</si>
  <si>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</si>
  <si>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</si>
  <si>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</si>
  <si>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</si>
  <si>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</si>
  <si>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</si>
  <si>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</si>
  <si>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</si>
  <si>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</si>
  <si>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</si>
  <si>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</si>
  <si>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</si>
  <si>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</si>
  <si>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</si>
  <si>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</si>
  <si>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</si>
  <si>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</si>
  <si>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</si>
  <si>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</si>
  <si>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</si>
  <si>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</si>
  <si>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</si>
  <si>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</si>
  <si>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</si>
  <si>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</si>
  <si>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</si>
  <si>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</si>
  <si>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</si>
  <si>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</si>
  <si>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</si>
  <si>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</si>
  <si>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</si>
  <si>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</si>
  <si>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</si>
  <si>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</si>
  <si>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</si>
  <si>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</si>
  <si>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</si>
  <si>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</si>
  <si>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</si>
  <si>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</si>
  <si>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</si>
  <si>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</si>
  <si>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</si>
  <si>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</si>
  <si>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</si>
  <si>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</si>
  <si>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</si>
  <si>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</si>
  <si>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</si>
  <si>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</si>
  <si>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</si>
  <si>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</si>
  <si>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</si>
  <si>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</si>
  <si>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</si>
  <si>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</si>
  <si>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</si>
  <si>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</si>
  <si>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</si>
  <si>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</si>
  <si>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</si>
  <si>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</si>
  <si>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</si>
  <si>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</si>
  <si>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</si>
  <si>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</si>
  <si>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</si>
  <si>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</si>
  <si>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</si>
  <si>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</si>
  <si>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</si>
  <si>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</si>
  <si>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</si>
  <si>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</si>
  <si>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</si>
  <si>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</si>
  <si>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</si>
  <si>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</si>
  <si>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</si>
  <si>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</si>
  <si>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</si>
  <si>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</si>
  <si>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</si>
  <si>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</si>
  <si>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</si>
  <si>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</si>
  <si>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</si>
  <si>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</si>
  <si>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</si>
  <si>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</si>
  <si>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</si>
  <si>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</si>
  <si>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</si>
  <si>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</si>
  <si>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</si>
  <si>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</si>
  <si>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</si>
  <si>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</si>
  <si>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</si>
  <si>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</si>
  <si>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</si>
  <si>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</si>
  <si>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</si>
  <si>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</si>
  <si>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</si>
  <si>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</si>
  <si>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</si>
  <si>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</si>
  <si>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</si>
  <si>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</si>
  <si>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</si>
  <si>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</si>
  <si>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</si>
  <si>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</si>
  <si>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</si>
  <si>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</si>
  <si>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</si>
  <si>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</si>
  <si>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</si>
  <si>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</si>
  <si>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</si>
  <si>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</si>
  <si>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</si>
  <si>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</si>
  <si>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</si>
  <si>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</si>
  <si>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</si>
  <si>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</si>
  <si>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</si>
  <si>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</si>
  <si>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</si>
  <si>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</si>
  <si>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</si>
  <si>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</si>
  <si>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</si>
  <si>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</si>
  <si>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</si>
  <si>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</si>
  <si>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</si>
  <si>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</si>
  <si>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</si>
  <si>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</si>
  <si>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</si>
  <si>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</si>
  <si>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</si>
  <si>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</si>
  <si>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</si>
  <si>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</si>
  <si>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</si>
  <si>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</si>
  <si>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</si>
  <si>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</si>
  <si>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</si>
  <si>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</si>
  <si>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</si>
  <si>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</si>
  <si>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</si>
  <si>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</si>
  <si>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</si>
  <si>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</si>
  <si>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</si>
  <si>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</si>
  <si>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</si>
  <si>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</si>
  <si>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</si>
  <si>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</si>
  <si>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</si>
  <si>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</si>
  <si>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</si>
  <si>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</si>
  <si>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</si>
  <si>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</si>
  <si>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</si>
  <si>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</si>
  <si>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</si>
  <si>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</si>
  <si>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</si>
  <si>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</si>
  <si>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</si>
  <si>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</si>
  <si>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</si>
  <si>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</si>
  <si>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</si>
  <si>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</si>
  <si>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</si>
  <si>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</si>
  <si>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</si>
  <si>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</si>
  <si>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</si>
  <si>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</si>
  <si>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</si>
  <si>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</si>
  <si>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</si>
  <si>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</si>
  <si>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</si>
  <si>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</si>
  <si>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</si>
  <si>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</si>
  <si>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</si>
  <si>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</si>
  <si>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</si>
  <si>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</si>
  <si>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</si>
  <si>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</si>
  <si>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</si>
  <si>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</si>
  <si>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</si>
  <si>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</si>
  <si>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</si>
  <si>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</si>
  <si>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</si>
  <si>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</si>
  <si>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</si>
  <si>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</si>
  <si>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</si>
  <si>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</si>
  <si>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</si>
  <si>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</si>
  <si>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</si>
  <si>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</si>
  <si>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</si>
  <si>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</si>
  <si>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</si>
  <si>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</si>
  <si>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</si>
  <si>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</si>
  <si>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</si>
  <si>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</si>
  <si>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</si>
  <si>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</si>
  <si>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</si>
  <si>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</si>
  <si>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</si>
  <si>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</si>
  <si>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</si>
  <si>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</si>
  <si>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</si>
  <si>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</si>
  <si>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</si>
  <si>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</si>
  <si>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</si>
  <si>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</si>
  <si>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</si>
  <si>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</si>
  <si>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</si>
  <si>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</si>
  <si>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</si>
  <si>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</si>
  <si>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</si>
  <si>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</si>
  <si>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</si>
  <si>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</si>
  <si>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</si>
  <si>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</si>
  <si>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</si>
  <si>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</si>
  <si>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</si>
  <si>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</si>
  <si>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</si>
  <si>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</si>
  <si>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</si>
  <si>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</si>
  <si>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</si>
  <si>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</si>
  <si>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</si>
  <si>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</si>
  <si>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</si>
  <si>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</si>
  <si>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</si>
  <si>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</si>
  <si>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</si>
  <si>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</si>
  <si>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</si>
  <si>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</si>
  <si>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</si>
  <si>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</si>
  <si>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</si>
  <si>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</si>
  <si>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</si>
  <si>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</si>
  <si>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</si>
  <si>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</si>
  <si>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</si>
  <si>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</si>
  <si>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</si>
  <si>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</si>
  <si>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</si>
  <si>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</si>
  <si>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</si>
  <si>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</si>
  <si>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</si>
  <si>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</si>
  <si>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</si>
  <si>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</si>
  <si>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</si>
  <si>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</si>
  <si>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</si>
  <si>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</si>
  <si>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</si>
  <si>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</si>
  <si>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</si>
  <si>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</si>
  <si>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</si>
  <si>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</si>
  <si>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</si>
  <si>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</si>
  <si>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</si>
  <si>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</si>
  <si>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</si>
  <si>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</si>
  <si>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</si>
  <si>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</si>
  <si>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</si>
  <si>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</si>
  <si>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</si>
  <si>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</si>
  <si>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</si>
  <si>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</si>
  <si>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</si>
  <si>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</si>
  <si>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</si>
  <si>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</si>
  <si>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</si>
  <si>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</si>
  <si>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</si>
  <si>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</si>
  <si>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</si>
  <si>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</si>
  <si>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</si>
  <si>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</si>
  <si>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</si>
  <si>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</si>
  <si>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</si>
  <si>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</si>
  <si>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</si>
  <si>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</si>
  <si>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</si>
  <si>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</si>
  <si>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</si>
  <si>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</si>
  <si>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</si>
  <si>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</si>
  <si>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</si>
  <si>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</si>
  <si>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</si>
  <si>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</si>
  <si>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</si>
  <si>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</si>
  <si>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</si>
  <si>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</si>
  <si>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</si>
  <si>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</si>
  <si>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</si>
  <si>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</si>
  <si>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</si>
  <si>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</si>
  <si>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</si>
  <si>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</si>
  <si>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</si>
  <si>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</si>
  <si>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</si>
  <si>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</si>
  <si>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</si>
  <si>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</si>
  <si>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</si>
  <si>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</si>
  <si>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</si>
  <si>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</si>
  <si>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</si>
  <si>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</si>
  <si>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</si>
  <si>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</si>
  <si>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</si>
  <si>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</si>
  <si>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</si>
  <si>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</si>
  <si>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</si>
  <si>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</si>
  <si>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</si>
  <si>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</si>
  <si>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</si>
  <si>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</si>
  <si>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</si>
  <si>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</si>
  <si>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</si>
  <si>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</si>
  <si>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</si>
  <si>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</si>
  <si>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</si>
  <si>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</si>
  <si>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</si>
  <si>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</si>
  <si>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</si>
  <si>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</si>
  <si>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</si>
  <si>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</si>
  <si>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</si>
  <si>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</si>
  <si>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</si>
  <si>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</si>
  <si>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</si>
  <si>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</si>
  <si>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</si>
  <si>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</si>
  <si>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</si>
  <si>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</si>
  <si>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</si>
  <si>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</si>
  <si>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</si>
  <si>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</si>
  <si>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</si>
  <si>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</si>
  <si>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</si>
  <si>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</si>
  <si>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</si>
  <si>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</si>
  <si>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</si>
  <si>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</si>
  <si>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</si>
  <si>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</si>
  <si>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</si>
  <si>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</si>
  <si>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</si>
  <si>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</si>
  <si>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</si>
  <si>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</si>
  <si>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</si>
  <si>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</si>
  <si>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</si>
  <si>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</si>
  <si>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</si>
  <si>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</si>
  <si>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</si>
  <si>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</si>
  <si>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</si>
  <si>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</si>
  <si>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</si>
  <si>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</si>
  <si>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</si>
  <si>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</si>
  <si>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</si>
  <si>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</si>
  <si>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</si>
  <si>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</si>
  <si>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</si>
  <si>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</si>
  <si>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</si>
  <si>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</si>
  <si>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</si>
  <si>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</si>
  <si>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</si>
  <si>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</si>
  <si>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</si>
  <si>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</si>
  <si>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</si>
  <si>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</si>
  <si>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</si>
  <si>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</si>
  <si>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</si>
  <si>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</si>
  <si>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</si>
  <si>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</si>
  <si>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</si>
  <si>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</si>
  <si>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</si>
  <si>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</si>
  <si>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</si>
  <si>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</si>
  <si>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</si>
  <si>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</si>
  <si>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</si>
  <si>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</si>
  <si>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</si>
  <si>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</si>
  <si>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</si>
  <si>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</si>
  <si>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</si>
  <si>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</si>
  <si>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</si>
  <si>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</si>
  <si>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</si>
  <si>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</si>
  <si>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</si>
  <si>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</si>
  <si>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</si>
  <si>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</si>
  <si>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</si>
  <si>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</si>
  <si>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</si>
  <si>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</si>
  <si>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</si>
  <si>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</si>
  <si>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</si>
  <si>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</si>
  <si>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</si>
  <si>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</si>
  <si>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</si>
  <si>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</si>
  <si>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</si>
  <si>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</si>
  <si>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</si>
  <si>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</si>
  <si>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</si>
  <si>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</si>
  <si>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</si>
  <si>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</si>
  <si>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</si>
  <si>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</si>
  <si>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</si>
  <si>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</si>
  <si>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</si>
  <si>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</si>
  <si>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</si>
  <si>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</si>
  <si>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</si>
  <si>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</si>
  <si>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</si>
  <si>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</si>
  <si>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</si>
  <si>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</si>
  <si>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</si>
  <si>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</si>
  <si>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</si>
  <si>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</si>
  <si>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</si>
  <si>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</si>
  <si>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</si>
  <si>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</si>
  <si>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</si>
  <si>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</si>
  <si>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</si>
  <si>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</si>
  <si>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</si>
  <si>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</si>
  <si>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</si>
  <si>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</si>
  <si>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</si>
  <si>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</si>
  <si>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</si>
  <si>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</si>
  <si>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</si>
  <si>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</si>
  <si>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</si>
  <si>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</si>
  <si>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</si>
  <si>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</si>
  <si>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</si>
  <si>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</si>
  <si>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</si>
  <si>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</si>
  <si>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</si>
  <si>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</si>
  <si>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</si>
  <si>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</si>
  <si>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</si>
  <si>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</si>
  <si>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</si>
  <si>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</si>
  <si>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</si>
  <si>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</si>
  <si>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</si>
  <si>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</si>
  <si>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</si>
  <si>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</si>
  <si>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</si>
  <si>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</si>
  <si>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</si>
  <si>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</si>
  <si>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</si>
  <si>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</si>
  <si>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</si>
  <si>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</si>
  <si>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</si>
  <si>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</si>
  <si>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</si>
  <si>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</si>
  <si>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</si>
  <si>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</si>
  <si>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</si>
  <si>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</si>
  <si>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</si>
  <si>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</si>
  <si>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</si>
  <si>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</si>
  <si>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</si>
  <si>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</si>
  <si>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</si>
  <si>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</si>
  <si>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</si>
  <si>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</si>
  <si>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</si>
  <si>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</si>
  <si>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</si>
  <si>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</si>
  <si>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</si>
  <si>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</si>
  <si>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</si>
  <si>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</si>
  <si>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</si>
  <si>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</si>
  <si>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</si>
  <si>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</si>
  <si>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</si>
  <si>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</si>
  <si>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</si>
  <si>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</si>
  <si>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</si>
  <si>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</si>
  <si>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</si>
  <si>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</si>
  <si>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</si>
  <si>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</si>
  <si>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</si>
  <si>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</si>
  <si>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</si>
  <si>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</si>
  <si>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</si>
  <si>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</si>
  <si>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</si>
  <si>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</si>
  <si>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</si>
  <si>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</si>
  <si>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</si>
  <si>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</si>
  <si>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</si>
  <si>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</si>
  <si>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</si>
  <si>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</si>
  <si>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</si>
  <si>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</si>
  <si>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</si>
  <si>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</si>
  <si>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</si>
  <si>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</si>
  <si>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</si>
  <si>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</si>
  <si>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</si>
  <si>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</si>
  <si>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</si>
  <si>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</si>
  <si>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</si>
  <si>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</si>
  <si>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</si>
  <si>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</si>
  <si>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</si>
  <si>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</si>
  <si>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</si>
  <si>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</si>
  <si>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</si>
  <si>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</si>
  <si>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</si>
  <si>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</si>
  <si>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</si>
  <si>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</si>
  <si>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</si>
  <si>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</si>
  <si>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</si>
  <si>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</si>
  <si>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</si>
  <si>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</si>
  <si>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</si>
  <si>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</si>
  <si>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</si>
  <si>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</si>
  <si>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</si>
  <si>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</si>
  <si>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</si>
  <si>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</si>
  <si>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</si>
  <si>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</si>
  <si>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</si>
  <si>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</si>
  <si>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</si>
  <si>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</si>
  <si>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</si>
  <si>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</si>
  <si>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</si>
  <si>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</si>
  <si>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</si>
  <si>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</si>
  <si>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</si>
  <si>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</si>
  <si>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</si>
  <si>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</si>
  <si>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</si>
  <si>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</si>
  <si>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</si>
  <si>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</si>
  <si>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</si>
  <si>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</si>
  <si>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</si>
  <si>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</si>
  <si>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</si>
  <si>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</si>
  <si>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</si>
  <si>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</si>
  <si>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</si>
  <si>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</si>
  <si>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</si>
  <si>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</si>
  <si>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</si>
  <si>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</si>
  <si>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</si>
  <si>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</si>
  <si>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</si>
  <si>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</si>
  <si>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</si>
  <si>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</si>
  <si>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</si>
  <si>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</si>
  <si>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</si>
  <si>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</si>
  <si>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</si>
  <si>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</si>
  <si>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</si>
  <si>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</si>
  <si>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</si>
  <si>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</si>
  <si>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</si>
  <si>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</si>
  <si>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</si>
  <si>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</si>
  <si>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</si>
  <si>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</si>
  <si>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</si>
  <si>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</si>
  <si>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</si>
  <si>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</si>
  <si>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</si>
  <si>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</si>
  <si>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</si>
  <si>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</si>
  <si>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</si>
  <si>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</si>
  <si>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</si>
  <si>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</si>
  <si>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</si>
  <si>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</si>
  <si>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</si>
  <si>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</si>
  <si>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</si>
  <si>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</si>
  <si>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</si>
  <si>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</si>
  <si>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</si>
  <si>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</si>
  <si>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</si>
  <si>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</si>
  <si>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</si>
  <si>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</si>
  <si>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</si>
  <si>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</si>
  <si>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</si>
  <si>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</si>
  <si>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</si>
  <si>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</si>
  <si>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</si>
  <si>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</si>
  <si>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</si>
  <si>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</si>
  <si>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</si>
  <si>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</si>
  <si>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</si>
  <si>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</si>
  <si>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</si>
  <si>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</si>
  <si>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</si>
  <si>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</si>
  <si>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</si>
  <si>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</si>
  <si>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</si>
  <si>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</si>
  <si>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</si>
  <si>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</si>
  <si>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</si>
  <si>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</si>
  <si>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</si>
  <si>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</si>
  <si>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</si>
  <si>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</si>
  <si>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</si>
  <si>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</si>
  <si>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</si>
  <si>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</si>
  <si>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</si>
  <si>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</si>
  <si>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</si>
  <si>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</si>
  <si>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</si>
  <si>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</si>
  <si>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</si>
  <si>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</si>
  <si>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</si>
  <si>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</si>
  <si>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</si>
  <si>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</si>
  <si>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</si>
  <si>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</si>
  <si>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</si>
  <si>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</si>
  <si>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</si>
  <si>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</si>
  <si>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</si>
  <si>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</si>
  <si>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</si>
  <si>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</si>
  <si>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</si>
  <si>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</si>
  <si>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</si>
  <si>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</si>
  <si>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</si>
  <si>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</si>
  <si>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</si>
  <si>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</si>
  <si>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</si>
  <si>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</si>
  <si>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</si>
  <si>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</si>
  <si>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</si>
  <si>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</si>
  <si>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</si>
  <si>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</si>
  <si>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</si>
  <si>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</si>
  <si>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</si>
  <si>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</si>
  <si>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</si>
  <si>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</si>
  <si>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</si>
  <si>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</si>
  <si>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</si>
  <si>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</si>
  <si>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</si>
  <si>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</si>
  <si>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</si>
  <si>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</si>
  <si>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</si>
  <si>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</si>
  <si>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</si>
  <si>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</si>
  <si>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</si>
  <si>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</si>
  <si>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</si>
  <si>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</si>
  <si>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</si>
  <si>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</si>
  <si>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</si>
  <si>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</si>
  <si>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</si>
  <si>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</si>
  <si>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</si>
  <si>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</si>
  <si>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</si>
  <si>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</si>
  <si>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</si>
  <si>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</si>
  <si>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</si>
  <si>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</si>
  <si>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</si>
  <si>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</si>
  <si>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</si>
  <si>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</si>
  <si>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</si>
  <si>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</si>
  <si>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</si>
  <si>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</si>
  <si>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</si>
  <si>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</si>
  <si>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</si>
  <si>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</si>
  <si>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</si>
  <si>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</si>
  <si>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</si>
  <si>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</si>
  <si>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</si>
  <si>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</si>
  <si>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</si>
  <si>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</si>
  <si>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</si>
  <si>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</si>
  <si>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</si>
  <si>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</si>
  <si>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</si>
  <si>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</si>
  <si>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</si>
  <si>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</si>
  <si>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</si>
  <si>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</si>
  <si>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</si>
  <si>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</si>
  <si>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</si>
  <si>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</si>
  <si>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</si>
  <si>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</si>
  <si>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</si>
  <si>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</si>
  <si>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</si>
  <si>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</si>
  <si>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</si>
  <si>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</si>
  <si>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</si>
  <si>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</si>
  <si>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</si>
  <si>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</si>
  <si>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</si>
  <si>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</si>
  <si>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</si>
  <si>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</si>
  <si>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</si>
  <si>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</si>
  <si>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</si>
  <si>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</si>
  <si>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</si>
  <si>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</si>
  <si>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</si>
  <si>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</si>
  <si>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</si>
  <si>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</si>
  <si>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</si>
  <si>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</si>
  <si>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</si>
  <si>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</si>
  <si>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</si>
  <si>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</si>
  <si>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</si>
  <si>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</si>
  <si>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</si>
  <si>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</si>
  <si>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</si>
  <si>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</si>
  <si>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</si>
  <si>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</si>
  <si>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</si>
  <si>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</si>
  <si>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</si>
  <si>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</si>
  <si>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</si>
  <si>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</si>
  <si>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</si>
  <si>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</si>
  <si>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</si>
  <si>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</si>
  <si>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</si>
  <si>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</si>
  <si>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</si>
  <si>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</si>
  <si>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</si>
  <si>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</si>
  <si>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</si>
  <si>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</si>
  <si>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</si>
  <si>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</si>
  <si>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</si>
  <si>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</si>
  <si>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</si>
  <si>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</si>
  <si>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</si>
  <si>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</si>
  <si>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</si>
  <si>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</si>
  <si>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</si>
  <si>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</si>
  <si>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</si>
  <si>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</si>
  <si>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</si>
  <si>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</si>
  <si>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</si>
  <si>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</si>
  <si>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</si>
  <si>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</si>
  <si>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</si>
  <si>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</si>
  <si>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</si>
  <si>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</si>
  <si>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</si>
  <si>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</si>
  <si>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</si>
  <si>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</si>
  <si>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</si>
  <si>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</si>
  <si>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</si>
  <si>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</si>
  <si>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</si>
  <si>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</si>
  <si>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</si>
  <si>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</si>
  <si>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</si>
  <si>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</si>
  <si>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</si>
  <si>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</si>
  <si>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</si>
  <si>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</si>
  <si>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</si>
  <si>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</si>
  <si>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</si>
  <si>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</si>
  <si>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</si>
  <si>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</si>
  <si>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</si>
  <si>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</si>
  <si>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</si>
  <si>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</si>
  <si>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</si>
  <si>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</si>
  <si>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</si>
  <si>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</si>
  <si>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</si>
  <si>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</si>
  <si>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</si>
  <si>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</si>
  <si>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</si>
  <si>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</si>
  <si>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</si>
  <si>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</si>
  <si>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</si>
  <si>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</si>
  <si>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</si>
  <si>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</si>
  <si>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</si>
  <si>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</si>
  <si>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</si>
  <si>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</si>
  <si>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</si>
  <si>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</si>
  <si>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</si>
  <si>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</si>
  <si>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</si>
  <si>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</si>
  <si>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</si>
  <si>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</si>
  <si>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</si>
  <si>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</si>
  <si>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</si>
  <si>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</si>
  <si>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</si>
  <si>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</si>
  <si>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</si>
  <si>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</si>
  <si>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</si>
  <si>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</si>
  <si>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</si>
  <si>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</si>
  <si>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</si>
  <si>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</si>
  <si>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</si>
  <si>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</si>
  <si>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</si>
  <si>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</si>
  <si>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</si>
  <si>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</si>
  <si>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</si>
  <si>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</si>
  <si>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</si>
  <si>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</si>
  <si>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</si>
  <si>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</si>
  <si>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</si>
  <si>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</si>
  <si>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</si>
  <si>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</si>
  <si>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</si>
  <si>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</si>
  <si>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</si>
  <si>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</si>
  <si>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</si>
  <si>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</si>
  <si>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</si>
  <si>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</si>
  <si>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</si>
  <si>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</si>
  <si>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</si>
  <si>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</si>
  <si>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</si>
  <si>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</si>
  <si>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</si>
  <si>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</si>
  <si>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</si>
  <si>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</si>
  <si>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</si>
  <si>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</si>
  <si>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</si>
  <si>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</si>
  <si>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</si>
  <si>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</si>
  <si>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</si>
  <si>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</si>
  <si>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</si>
  <si>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</si>
  <si>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</si>
  <si>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</si>
  <si>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</si>
  <si>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</si>
  <si>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</si>
  <si>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</si>
  <si>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</si>
  <si>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</si>
  <si>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</si>
  <si>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</si>
  <si>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</si>
  <si>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</si>
  <si>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</si>
  <si>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</si>
  <si>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</si>
  <si>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</si>
  <si>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</si>
  <si>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</si>
  <si>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</si>
  <si>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</si>
  <si>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</si>
  <si>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</si>
  <si>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</si>
  <si>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</si>
  <si>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</si>
  <si>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</si>
  <si>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</si>
  <si>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</si>
  <si>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</si>
  <si>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</si>
  <si>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</si>
  <si>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</si>
  <si>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</si>
  <si>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</si>
  <si>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</si>
  <si>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</si>
  <si>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</si>
  <si>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</si>
  <si>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</si>
  <si>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</si>
  <si>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</si>
  <si>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</si>
  <si>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</si>
  <si>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</si>
  <si>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</si>
  <si>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</si>
  <si>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</si>
  <si>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</si>
  <si>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</si>
  <si>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</si>
  <si>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</si>
  <si>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</si>
  <si>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</si>
  <si>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</si>
  <si>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</si>
  <si>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</si>
  <si>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</si>
  <si>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</si>
  <si>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</si>
  <si>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</si>
  <si>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</si>
  <si>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</si>
  <si>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</si>
  <si>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</si>
  <si>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</si>
  <si>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</si>
  <si>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</si>
  <si>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</si>
  <si>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</si>
  <si>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</si>
  <si>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</si>
  <si>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</si>
  <si>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</si>
  <si>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</si>
  <si>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</si>
  <si>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</si>
  <si>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</si>
  <si>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</si>
  <si>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</si>
  <si>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</si>
  <si>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</si>
  <si>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</si>
  <si>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</si>
  <si>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</si>
  <si>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</si>
  <si>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</si>
  <si>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</si>
  <si>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</si>
  <si>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</si>
  <si>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</si>
  <si>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</si>
  <si>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</si>
  <si>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</si>
  <si>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</si>
  <si>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</si>
  <si>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</si>
  <si>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</si>
  <si>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</si>
  <si>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</si>
  <si>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</si>
  <si>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</si>
  <si>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</si>
  <si>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</si>
  <si>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</si>
  <si>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</si>
  <si>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</si>
  <si>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</si>
  <si>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</si>
  <si>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</si>
  <si>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</si>
  <si>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</si>
  <si>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</si>
  <si>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</si>
  <si>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</si>
  <si>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</si>
  <si>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</si>
  <si>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</si>
  <si>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</si>
  <si>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</si>
  <si>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</si>
  <si>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</si>
  <si>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</si>
  <si>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</si>
  <si>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</si>
  <si>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</si>
  <si>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</si>
  <si>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</si>
  <si>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</si>
  <si>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</si>
  <si>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</si>
  <si>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</si>
  <si>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</si>
  <si>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</si>
  <si>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</si>
  <si>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</si>
  <si>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</si>
  <si>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</si>
  <si>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</si>
  <si>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</si>
  <si>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</si>
  <si>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</si>
  <si>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</si>
  <si>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</si>
  <si>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</si>
  <si>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</si>
  <si>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</si>
  <si>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</si>
  <si>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</si>
  <si>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</si>
  <si>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</si>
  <si>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</si>
  <si>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</si>
  <si>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</si>
  <si>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</si>
  <si>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</si>
  <si>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</si>
  <si>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</si>
  <si>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</si>
  <si>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</si>
  <si>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</si>
  <si>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</si>
  <si>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</si>
  <si>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</si>
  <si>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</si>
  <si>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</si>
  <si>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</si>
  <si>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</si>
  <si>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</si>
  <si>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</si>
  <si>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</si>
  <si>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</si>
  <si>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</si>
  <si>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</si>
  <si>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</si>
  <si>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</si>
  <si>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</si>
  <si>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</si>
  <si>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</si>
  <si>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</si>
  <si>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</si>
  <si>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</si>
  <si>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</si>
  <si>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</si>
  <si>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</si>
  <si>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</si>
  <si>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</si>
  <si>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</si>
  <si>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</si>
  <si>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</si>
  <si>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</si>
  <si>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</si>
  <si>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</si>
  <si>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</si>
  <si>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</si>
  <si>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</si>
  <si>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</si>
  <si>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</si>
  <si>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</si>
  <si>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</si>
  <si>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</si>
  <si>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</si>
  <si>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</si>
  <si>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</si>
  <si>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</si>
  <si>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</si>
  <si>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</si>
  <si>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</si>
  <si>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</si>
  <si>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</si>
  <si>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</si>
  <si>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</si>
  <si>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</si>
  <si>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</si>
  <si>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</si>
  <si>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</si>
  <si>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</si>
  <si>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</si>
  <si>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</si>
  <si>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</si>
  <si>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</si>
  <si>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</si>
  <si>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</si>
  <si>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</si>
  <si>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</si>
  <si>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</si>
  <si>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</si>
  <si>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</si>
  <si>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</si>
  <si>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</si>
  <si>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</si>
  <si>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</si>
  <si>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</si>
  <si>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</si>
  <si>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</si>
  <si>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</si>
  <si>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</si>
  <si>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</si>
  <si>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</si>
  <si>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</si>
  <si>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</si>
  <si>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</si>
  <si>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</si>
  <si>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</si>
  <si>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</si>
  <si>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</si>
  <si>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</si>
  <si>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</si>
  <si>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</si>
  <si>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</si>
  <si>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</si>
  <si>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</si>
  <si>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</si>
  <si>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</si>
  <si>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</si>
  <si>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</si>
  <si>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</si>
  <si>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</si>
  <si>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</si>
  <si>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</si>
  <si>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</si>
  <si>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</si>
  <si>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</si>
  <si>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</si>
  <si>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</si>
  <si>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</si>
  <si>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</si>
  <si>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</si>
  <si>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</si>
  <si>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</si>
  <si>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</si>
  <si>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</si>
  <si>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</si>
  <si>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</si>
  <si>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</si>
  <si>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</si>
  <si>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</si>
  <si>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</si>
  <si>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</si>
  <si>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</si>
  <si>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</si>
  <si>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</si>
  <si>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</si>
  <si>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</si>
  <si>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</si>
  <si>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</si>
  <si>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</si>
  <si>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</si>
  <si>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</si>
  <si>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</si>
  <si>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</si>
  <si>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</si>
  <si>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</si>
  <si>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</si>
  <si>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</si>
  <si>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</si>
  <si>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</si>
  <si>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</si>
  <si>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</si>
  <si>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</si>
  <si>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</si>
  <si>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</si>
  <si>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</si>
  <si>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</si>
  <si>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</si>
  <si>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</si>
  <si>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</si>
  <si>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</si>
  <si>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</si>
  <si>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</si>
  <si>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</si>
  <si>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</si>
  <si>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</si>
  <si>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</si>
  <si>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</si>
  <si>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</si>
  <si>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</si>
  <si>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</si>
  <si>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</si>
  <si>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</si>
  <si>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</si>
  <si>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</si>
  <si>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</si>
  <si>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</si>
  <si>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</si>
  <si>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</si>
  <si>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</si>
  <si>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</si>
  <si>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</si>
  <si>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</si>
  <si>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</si>
  <si>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</si>
  <si>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</si>
  <si>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</si>
  <si>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</si>
  <si>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</si>
  <si>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</si>
  <si>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</si>
  <si>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</si>
  <si>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</si>
  <si>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</si>
  <si>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</si>
  <si>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</si>
  <si>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</si>
  <si>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</si>
  <si>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</si>
  <si>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</si>
  <si>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</si>
  <si>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</si>
  <si>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</si>
  <si>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</si>
  <si>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</si>
  <si>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</si>
  <si>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</si>
  <si>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</si>
  <si>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</si>
  <si>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</si>
  <si>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</si>
  <si>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</si>
  <si>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</si>
  <si>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</si>
  <si>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</si>
  <si>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</si>
  <si>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</si>
  <si>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</si>
  <si>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</si>
  <si>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</si>
  <si>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</si>
  <si>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</si>
  <si>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</si>
  <si>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</si>
  <si>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</si>
  <si>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</si>
  <si>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</si>
  <si>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</si>
  <si>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</si>
  <si>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</si>
  <si>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</si>
  <si>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</si>
  <si>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</si>
  <si>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</si>
  <si>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</si>
  <si>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</si>
  <si>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</si>
  <si>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</si>
  <si>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</si>
  <si>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</si>
  <si>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</si>
  <si>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</si>
  <si>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</si>
  <si>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</si>
  <si>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</si>
  <si>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</si>
  <si>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</si>
  <si>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</si>
  <si>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</si>
  <si>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</si>
  <si>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</si>
  <si>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</si>
  <si>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</si>
  <si>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</si>
  <si>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</si>
  <si>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</si>
  <si>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</si>
  <si>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</si>
  <si>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</si>
  <si>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</si>
  <si>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</si>
  <si>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</si>
  <si>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</si>
  <si>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</si>
  <si>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</si>
  <si>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</si>
  <si>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</si>
  <si>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</si>
  <si>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</si>
  <si>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</si>
  <si>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</si>
  <si>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</si>
  <si>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</si>
  <si>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</si>
  <si>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</si>
  <si>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</si>
  <si>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</si>
  <si>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</si>
  <si>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</si>
  <si>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</si>
  <si>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</si>
  <si>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</si>
  <si>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</si>
  <si>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</si>
  <si>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</si>
  <si>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</si>
  <si>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</si>
  <si>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</si>
  <si>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</si>
  <si>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</si>
  <si>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</si>
  <si>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</si>
  <si>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</si>
  <si>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</si>
  <si>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</si>
  <si>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</si>
  <si>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</si>
  <si>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</si>
  <si>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</si>
  <si>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</si>
  <si>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</si>
  <si>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</si>
  <si>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</si>
  <si>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</si>
  <si>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</si>
  <si>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</si>
  <si>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</si>
  <si>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</si>
  <si>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</si>
  <si>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</si>
  <si>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</si>
  <si>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</si>
  <si>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</si>
  <si>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</si>
  <si>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</si>
  <si>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</si>
  <si>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</si>
  <si>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</si>
  <si>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</si>
  <si>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</si>
  <si>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</si>
  <si>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</si>
  <si>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</si>
  <si>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</si>
  <si>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</si>
  <si>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</si>
  <si>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</si>
  <si>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</si>
  <si>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</si>
  <si>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</si>
  <si>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</si>
  <si>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</si>
  <si>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</si>
  <si>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</si>
  <si>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</si>
  <si>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</si>
  <si>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</si>
  <si>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</si>
  <si>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</si>
  <si>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</si>
  <si>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</si>
  <si>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</si>
  <si>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</si>
  <si>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</si>
  <si>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</si>
  <si>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</si>
  <si>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</si>
  <si>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</si>
  <si>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</si>
  <si>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</si>
  <si>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</si>
  <si>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</si>
  <si>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</si>
  <si>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</si>
  <si>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</si>
  <si>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</si>
  <si>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</si>
  <si>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</si>
  <si>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</si>
  <si>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</si>
  <si>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</si>
  <si>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</si>
  <si>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</si>
  <si>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</si>
  <si>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</si>
  <si>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</si>
  <si>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</si>
  <si>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</si>
  <si>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</si>
  <si>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</si>
  <si>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</si>
  <si>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</si>
  <si>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</si>
  <si>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</si>
  <si>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</si>
  <si>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</si>
  <si>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</si>
  <si>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</si>
  <si>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</si>
  <si>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</si>
  <si>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</si>
  <si>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</si>
  <si>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</si>
  <si>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</si>
  <si>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</si>
  <si>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</si>
  <si>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</si>
  <si>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</si>
  <si>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</si>
  <si>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</si>
  <si>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</si>
  <si>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</si>
  <si>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</si>
  <si>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</si>
  <si>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</si>
  <si>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</si>
  <si>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</si>
  <si>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</si>
  <si>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</si>
  <si>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</si>
  <si>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</si>
  <si>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</si>
  <si>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</si>
  <si>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</si>
  <si>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</si>
  <si>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</si>
  <si>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</si>
  <si>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</si>
  <si>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</si>
  <si>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</si>
  <si>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</si>
  <si>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</si>
  <si>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</si>
  <si>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</si>
  <si>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</si>
  <si>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</si>
  <si>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</si>
  <si>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</si>
  <si>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</si>
  <si>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</si>
  <si>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</si>
  <si>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</si>
  <si>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</si>
  <si>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</si>
  <si>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</si>
  <si>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</si>
  <si>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</si>
  <si>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</si>
  <si>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</si>
  <si>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</si>
  <si>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</si>
  <si>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</si>
  <si>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</si>
  <si>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</si>
  <si>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</si>
  <si>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</si>
  <si>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</si>
  <si>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</si>
  <si>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</si>
  <si>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</si>
  <si>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</si>
  <si>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</si>
  <si>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</si>
  <si>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</si>
  <si>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</si>
  <si>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</si>
  <si>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</si>
  <si>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</si>
  <si>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</si>
  <si>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</si>
  <si>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</si>
  <si>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</si>
  <si>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</si>
  <si>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</si>
  <si>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</si>
  <si>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</si>
  <si>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</si>
  <si>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</si>
  <si>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</si>
  <si>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</si>
  <si>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</si>
  <si>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</si>
  <si>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</si>
  <si>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</si>
  <si>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</si>
  <si>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</si>
  <si>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</si>
  <si>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</si>
  <si>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</si>
  <si>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</si>
  <si>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</si>
  <si>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</si>
  <si>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</si>
  <si>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</si>
  <si>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</si>
  <si>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</si>
  <si>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</si>
  <si>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</si>
  <si>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</si>
  <si>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</si>
  <si>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</si>
  <si>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</si>
  <si>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</si>
  <si>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</si>
  <si>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</si>
  <si>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</si>
  <si>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</si>
  <si>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</si>
  <si>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</si>
  <si>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</si>
  <si>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</si>
  <si>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</si>
  <si>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</si>
  <si>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</si>
  <si>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</si>
  <si>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</si>
  <si>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</si>
  <si>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</si>
  <si>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</si>
  <si>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</si>
  <si>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</si>
  <si>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</si>
  <si>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</si>
  <si>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</si>
  <si>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</si>
  <si>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</si>
  <si>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</si>
  <si>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</si>
  <si>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</si>
  <si>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</si>
  <si>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</si>
  <si>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</si>
  <si>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</si>
  <si>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</si>
  <si>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</si>
  <si>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</si>
  <si>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</si>
  <si>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</si>
  <si>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</si>
  <si>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</si>
  <si>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</si>
  <si>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</si>
  <si>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</si>
  <si>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</si>
  <si>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</si>
  <si>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</si>
  <si>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</si>
  <si>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</si>
  <si>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</si>
  <si>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</si>
  <si>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</si>
  <si>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</si>
  <si>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</si>
  <si>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</si>
  <si>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</si>
  <si>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</si>
  <si>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</si>
  <si>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</si>
  <si>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</si>
  <si>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</si>
  <si>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</si>
  <si>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</si>
  <si>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</si>
  <si>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</si>
  <si>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</si>
  <si>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</si>
  <si>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</si>
  <si>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</si>
  <si>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</si>
  <si>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</si>
  <si>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</si>
  <si>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</si>
  <si>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</si>
  <si>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</si>
  <si>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</si>
  <si>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</si>
  <si>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</si>
  <si>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</si>
  <si>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</si>
  <si>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</si>
  <si>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</si>
  <si>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</si>
  <si>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</si>
  <si>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</si>
  <si>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</si>
  <si>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</si>
  <si>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</si>
  <si>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</si>
  <si>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</si>
  <si>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</si>
  <si>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</si>
  <si>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</si>
  <si>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</si>
  <si>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</si>
  <si>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</si>
  <si>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</si>
  <si>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</si>
  <si>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</si>
  <si>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</si>
  <si>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</si>
  <si>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</si>
  <si>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</si>
  <si>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</si>
  <si>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</si>
  <si>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</si>
  <si>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</si>
  <si>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</si>
  <si>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</si>
  <si>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</si>
  <si>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</si>
  <si>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</si>
  <si>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</si>
  <si>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</si>
  <si>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</si>
  <si>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</si>
  <si>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</si>
  <si>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</si>
  <si>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</si>
  <si>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</si>
  <si>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</si>
  <si>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</si>
  <si>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</si>
  <si>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</si>
  <si>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</si>
  <si>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</si>
  <si>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</si>
  <si>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</si>
  <si>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</si>
  <si>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</si>
  <si>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</si>
  <si>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</si>
  <si>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</si>
  <si>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</si>
  <si>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</si>
  <si>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</si>
  <si>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</si>
  <si>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</si>
  <si>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</si>
  <si>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</si>
  <si>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</si>
  <si>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</si>
  <si>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</si>
  <si>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</si>
  <si>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</si>
  <si>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</si>
  <si>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</si>
  <si>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</si>
  <si>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</si>
  <si>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</si>
  <si>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</si>
  <si>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</si>
  <si>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</si>
  <si>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</si>
  <si>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</si>
  <si>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</si>
  <si>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</si>
  <si>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</si>
  <si>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</si>
  <si>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</si>
  <si>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</si>
  <si>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</si>
  <si>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</si>
  <si>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</si>
  <si>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</si>
  <si>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</si>
  <si>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</si>
  <si>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</si>
  <si>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</si>
  <si>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</si>
  <si>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</si>
  <si>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</si>
  <si>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</si>
  <si>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</si>
  <si>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</si>
  <si>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</si>
  <si>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</si>
  <si>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</si>
  <si>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</si>
  <si>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</si>
  <si>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</si>
  <si>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</si>
  <si>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</si>
  <si>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</si>
  <si>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</si>
  <si>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</si>
  <si>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</si>
  <si>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</si>
  <si>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</si>
  <si>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</si>
  <si>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</si>
  <si>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</si>
  <si>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</si>
  <si>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</si>
  <si>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</si>
  <si>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</si>
  <si>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</si>
  <si>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</si>
  <si>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</si>
  <si>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</si>
  <si>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</si>
  <si>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</si>
  <si>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</si>
  <si>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</si>
  <si>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</si>
  <si>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</si>
  <si>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</si>
  <si>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</si>
  <si>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</si>
  <si>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</si>
  <si>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</si>
  <si>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</si>
  <si>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</si>
  <si>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</si>
  <si>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</si>
  <si>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</si>
  <si>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</si>
  <si>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</si>
  <si>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</si>
  <si>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</si>
  <si>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</si>
  <si>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</si>
  <si>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</si>
  <si>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</si>
  <si>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</si>
  <si>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</si>
  <si>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</si>
  <si>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</si>
  <si>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</si>
  <si>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</si>
  <si>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</si>
  <si>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</si>
  <si>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</si>
  <si>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</si>
  <si>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</si>
  <si>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</si>
  <si>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</si>
  <si>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</si>
  <si>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</si>
  <si>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</si>
  <si>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</si>
  <si>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</si>
  <si>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</si>
  <si>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</si>
  <si>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</si>
  <si>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</si>
  <si>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</si>
  <si>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</si>
  <si>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</si>
  <si>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</si>
  <si>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</si>
  <si>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</si>
  <si>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</si>
  <si>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</si>
  <si>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</si>
  <si>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</si>
  <si>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</si>
  <si>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</si>
  <si>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</si>
  <si>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</si>
  <si>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</si>
  <si>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</si>
  <si>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</si>
  <si>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</si>
  <si>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</si>
  <si>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</si>
  <si>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</si>
  <si>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</si>
  <si>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</si>
  <si>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</si>
  <si>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</si>
  <si>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</si>
  <si>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</si>
  <si>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</si>
  <si>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</si>
  <si>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</si>
  <si>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</si>
  <si>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</si>
  <si>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</si>
  <si>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</si>
  <si>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</si>
  <si>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</si>
  <si>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</si>
  <si>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</si>
  <si>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</si>
  <si>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</si>
  <si>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</si>
  <si>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</si>
  <si>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</si>
  <si>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</si>
  <si>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</si>
  <si>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</si>
  <si>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</si>
  <si>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</si>
  <si>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</si>
  <si>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</si>
  <si>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</si>
  <si>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</si>
  <si>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</si>
  <si>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</si>
  <si>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</si>
  <si>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</si>
  <si>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</si>
  <si>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</si>
  <si>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</si>
  <si>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</si>
  <si>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</si>
  <si>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</si>
  <si>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</si>
  <si>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</si>
  <si>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</si>
  <si>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</si>
  <si>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</si>
  <si>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</si>
  <si>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</si>
  <si>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</si>
  <si>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</si>
  <si>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</si>
  <si>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</si>
  <si>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</si>
  <si>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</si>
  <si>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</si>
  <si>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</si>
  <si>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</si>
  <si>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</si>
  <si>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</si>
  <si>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</si>
  <si>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</si>
  <si>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</si>
  <si>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</si>
  <si>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</si>
  <si>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</si>
  <si>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</si>
  <si>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</si>
  <si>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</si>
  <si>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</si>
  <si>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</si>
  <si>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</si>
  <si>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</si>
  <si>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</si>
  <si>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</si>
  <si>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</si>
  <si>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</si>
  <si>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</si>
  <si>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</si>
  <si>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</si>
  <si>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</si>
  <si>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</si>
  <si>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</si>
  <si>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</si>
  <si>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</si>
  <si>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</si>
  <si>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</si>
  <si>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</si>
  <si>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</si>
  <si>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</si>
  <si>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</si>
  <si>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</si>
  <si>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</si>
  <si>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</si>
  <si>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</si>
  <si>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</si>
  <si>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</si>
  <si>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</si>
  <si>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</si>
  <si>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</si>
  <si>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</si>
  <si>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</si>
  <si>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</si>
  <si>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</si>
  <si>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</si>
  <si>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</si>
  <si>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</si>
  <si>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</si>
  <si>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</si>
  <si>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</si>
  <si>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</si>
  <si>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</si>
  <si>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</si>
  <si>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</si>
  <si>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</si>
  <si>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</si>
  <si>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</si>
  <si>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</si>
  <si>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</si>
  <si>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</si>
  <si>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</si>
  <si>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</si>
  <si>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</si>
  <si>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</si>
  <si>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</si>
  <si>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</si>
  <si>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</si>
  <si>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</si>
  <si>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</si>
  <si>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</si>
  <si>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</si>
  <si>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</si>
  <si>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</si>
  <si>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</si>
  <si>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</si>
  <si>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</si>
  <si>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</si>
  <si>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</si>
  <si>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</si>
  <si>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</si>
  <si>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</si>
  <si>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</si>
  <si>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</si>
  <si>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</si>
  <si>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</si>
  <si>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</si>
  <si>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</si>
  <si>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</si>
  <si>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</si>
  <si>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</si>
  <si>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</si>
  <si>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</si>
  <si>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</si>
  <si>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</si>
  <si>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</si>
  <si>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</si>
  <si>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</si>
  <si>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</si>
  <si>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</si>
  <si>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</si>
  <si>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</si>
  <si>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</si>
  <si>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</si>
  <si>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</si>
  <si>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</si>
  <si>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</si>
  <si>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</si>
  <si>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</si>
  <si>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</si>
  <si>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</si>
  <si>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</si>
  <si>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</si>
  <si>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</si>
  <si>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</si>
  <si>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</si>
  <si>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</si>
  <si>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</si>
  <si>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</si>
  <si>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</si>
  <si>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</si>
  <si>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</si>
  <si>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</si>
  <si>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</si>
  <si>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</si>
  <si>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</si>
  <si>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</si>
  <si>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</si>
  <si>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</si>
  <si>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</si>
  <si>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</si>
  <si>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</si>
  <si>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</si>
  <si>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</si>
  <si>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</si>
  <si>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</si>
  <si>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</si>
  <si>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</si>
  <si>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</si>
  <si>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</si>
  <si>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</si>
  <si>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</si>
  <si>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</si>
  <si>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</si>
  <si>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</si>
  <si>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</si>
  <si>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</si>
  <si>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</si>
  <si>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</si>
  <si>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</si>
  <si>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</si>
  <si>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</si>
  <si>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</si>
  <si>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</si>
  <si>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</si>
  <si>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</si>
  <si>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</si>
  <si>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</si>
  <si>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</si>
  <si>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</si>
  <si>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</si>
  <si>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</si>
  <si>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</si>
  <si>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</si>
  <si>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</si>
  <si>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</si>
  <si>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</si>
  <si>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</si>
  <si>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</si>
  <si>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</si>
  <si>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</si>
  <si>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</si>
  <si>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</si>
  <si>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</si>
  <si>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</si>
  <si>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</si>
  <si>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</si>
  <si>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</si>
  <si>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</si>
  <si>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</si>
  <si>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</si>
  <si>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</si>
  <si>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</si>
  <si>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</si>
  <si>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</si>
  <si>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</si>
  <si>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</si>
  <si>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</si>
  <si>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</si>
  <si>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</si>
  <si>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</si>
  <si>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</si>
  <si>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</si>
  <si>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</si>
  <si>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</si>
  <si>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</si>
  <si>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</si>
  <si>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</si>
  <si>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</si>
  <si>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</si>
  <si>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</si>
  <si>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</si>
  <si>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</si>
  <si>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</si>
  <si>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</si>
  <si>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</si>
  <si>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</si>
  <si>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</si>
  <si>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</si>
  <si>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</si>
  <si>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</si>
  <si>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</si>
  <si>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</si>
  <si>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</si>
  <si>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</si>
  <si>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</si>
  <si>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</si>
  <si>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</si>
  <si>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</si>
  <si>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</si>
  <si>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</si>
  <si>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</si>
  <si>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</si>
  <si>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</si>
  <si>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</si>
  <si>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</si>
  <si>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</si>
  <si>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</si>
  <si>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</si>
  <si>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</si>
  <si>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</si>
  <si>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</si>
  <si>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</si>
  <si>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</si>
  <si>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</si>
  <si>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</si>
  <si>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</si>
  <si>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</si>
  <si>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</si>
  <si>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</si>
  <si>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</si>
  <si>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</si>
  <si>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</si>
  <si>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</si>
  <si>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</si>
  <si>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</si>
  <si>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</si>
  <si>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</si>
  <si>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</si>
  <si>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</si>
  <si>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</si>
  <si>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</si>
  <si>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</si>
  <si>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</si>
  <si>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</si>
  <si>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</si>
  <si>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</si>
  <si>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</si>
  <si>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</si>
  <si>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</si>
  <si>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</si>
  <si>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</si>
  <si>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</si>
  <si>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</si>
  <si>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</si>
  <si>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</si>
  <si>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</si>
  <si>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</si>
  <si>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</si>
  <si>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</si>
  <si>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</si>
  <si>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</si>
  <si>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</si>
  <si>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</si>
  <si>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</si>
  <si>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</si>
  <si>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</si>
  <si>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</si>
  <si>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</si>
  <si>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</si>
  <si>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</si>
  <si>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</si>
  <si>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</si>
  <si>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</si>
  <si>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</si>
  <si>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</si>
  <si>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</si>
  <si>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</si>
  <si>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</si>
  <si>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</si>
  <si>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</si>
  <si>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</si>
  <si>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</si>
  <si>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</si>
  <si>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</si>
  <si>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</si>
  <si>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</si>
  <si>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</si>
  <si>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</si>
  <si>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</si>
  <si>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</si>
  <si>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</si>
  <si>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</si>
  <si>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</si>
  <si>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</si>
  <si>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</si>
  <si>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</si>
  <si>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</si>
  <si>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</si>
  <si>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</si>
  <si>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</si>
  <si>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</si>
  <si>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</si>
  <si>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</si>
  <si>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</si>
  <si>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</si>
  <si>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</si>
  <si>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</si>
  <si>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</si>
  <si>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</si>
  <si>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</si>
  <si>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</si>
  <si>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</si>
  <si>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</si>
  <si>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</si>
  <si>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</si>
  <si>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</si>
  <si>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</si>
  <si>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</si>
  <si>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</si>
  <si>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</si>
  <si>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</si>
  <si>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</si>
  <si>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</si>
  <si>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</si>
  <si>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</si>
  <si>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</si>
  <si>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</si>
  <si>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</si>
  <si>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</si>
  <si>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</si>
  <si>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</si>
  <si>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</si>
  <si>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</si>
  <si>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</si>
  <si>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</si>
  <si>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</si>
  <si>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</si>
  <si>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</si>
  <si>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</si>
  <si>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</si>
  <si>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</si>
  <si>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</si>
  <si>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</si>
  <si>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</si>
  <si>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</si>
  <si>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</si>
  <si>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</si>
  <si>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</si>
  <si>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</si>
  <si>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</si>
  <si>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</si>
  <si>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</si>
  <si>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</si>
  <si>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</si>
  <si>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</si>
  <si>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</si>
  <si>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</si>
  <si>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</si>
  <si>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</si>
  <si>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</si>
  <si>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</si>
  <si>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</si>
  <si>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</si>
  <si>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</si>
  <si>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</si>
  <si>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</si>
  <si>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</si>
  <si>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</si>
  <si>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</si>
  <si>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</si>
  <si>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</si>
  <si>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</si>
  <si>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</si>
  <si>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</si>
  <si>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</si>
  <si>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</si>
  <si>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</si>
  <si>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</si>
  <si>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</si>
  <si>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</si>
  <si>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</si>
  <si>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</si>
  <si>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</si>
  <si>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</si>
  <si>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</si>
  <si>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</si>
  <si>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</si>
  <si>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</si>
  <si>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</si>
  <si>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</si>
  <si>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</si>
  <si>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</si>
  <si>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</si>
  <si>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</si>
  <si>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</si>
  <si>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</si>
  <si>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</si>
  <si>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</si>
  <si>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</si>
  <si>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</si>
  <si>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</si>
  <si>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</si>
  <si>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</si>
  <si>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</si>
  <si>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</si>
  <si>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</si>
  <si>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</si>
  <si>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</si>
  <si>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</si>
  <si>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</si>
  <si>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</si>
  <si>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</si>
  <si>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</si>
  <si>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</si>
  <si>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</si>
  <si>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</si>
  <si>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</si>
  <si>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</si>
  <si>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</si>
  <si>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</si>
  <si>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</si>
  <si>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</si>
  <si>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</si>
  <si>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</si>
  <si>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</si>
  <si>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</si>
  <si>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</si>
  <si>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</si>
  <si>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</si>
  <si>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</si>
  <si>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</si>
  <si>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</si>
  <si>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</si>
  <si>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</si>
  <si>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</si>
  <si>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</si>
  <si>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</si>
  <si>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</si>
  <si>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</si>
  <si>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</si>
  <si>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</si>
  <si>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</si>
  <si>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</si>
  <si>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</si>
  <si>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</si>
  <si>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</si>
  <si>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</si>
  <si>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</si>
  <si>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</si>
  <si>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</si>
  <si>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</si>
  <si>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</si>
  <si>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</si>
  <si>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</si>
  <si>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</si>
  <si>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</si>
  <si>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</si>
  <si>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</si>
  <si>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</si>
  <si>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</si>
  <si>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</si>
  <si>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</si>
  <si>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</si>
  <si>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</si>
  <si>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</si>
  <si>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</si>
  <si>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</si>
  <si>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</si>
  <si>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</si>
  <si>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</si>
  <si>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</si>
  <si>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</si>
  <si>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</si>
  <si>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</si>
  <si>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</si>
  <si>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</si>
  <si>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</si>
  <si>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</si>
  <si>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</si>
  <si>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</si>
  <si>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</si>
  <si>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</si>
  <si>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</si>
  <si>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</si>
  <si>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</si>
  <si>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</si>
  <si>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</si>
  <si>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</si>
  <si>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</si>
  <si>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</si>
  <si>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</si>
  <si>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</si>
  <si>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</si>
  <si>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</si>
  <si>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</si>
  <si>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</si>
  <si>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</si>
  <si>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</si>
  <si>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</si>
  <si>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</si>
  <si>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</si>
  <si>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</si>
  <si>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</si>
  <si>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</si>
  <si>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</si>
  <si>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</si>
  <si>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</si>
  <si>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</si>
  <si>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</si>
  <si>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</si>
  <si>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</si>
  <si>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</si>
  <si>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</si>
  <si>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</si>
  <si>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</si>
  <si>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</si>
  <si>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</si>
  <si>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</si>
  <si>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</si>
  <si>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</si>
  <si>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</si>
  <si>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</si>
  <si>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</si>
  <si>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</si>
  <si>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</si>
  <si>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</si>
  <si>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</si>
  <si>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</si>
  <si>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</si>
  <si>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</si>
  <si>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</si>
  <si>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</si>
  <si>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</si>
  <si>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</si>
  <si>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</si>
  <si>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</si>
  <si>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</si>
  <si>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</si>
  <si>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</si>
  <si>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</si>
  <si>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</si>
  <si>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</si>
  <si>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</si>
  <si>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</si>
  <si>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</si>
  <si>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</si>
  <si>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</si>
  <si>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</si>
  <si>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</si>
  <si>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</si>
  <si>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</si>
  <si>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</si>
  <si>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</si>
  <si>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</si>
  <si>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</si>
  <si>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</si>
  <si>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</si>
  <si>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</si>
  <si>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</si>
  <si>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</si>
  <si>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</si>
  <si>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</si>
  <si>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</si>
  <si>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</si>
  <si>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</si>
  <si>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</si>
  <si>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</si>
  <si>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</si>
  <si>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</si>
  <si>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</si>
  <si>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</si>
  <si>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</si>
  <si>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</si>
  <si>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</si>
  <si>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</si>
  <si>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</si>
  <si>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</si>
  <si>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</si>
  <si>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</si>
  <si>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</si>
  <si>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</si>
  <si>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</si>
  <si>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</si>
  <si>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</si>
  <si>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</si>
  <si>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</si>
  <si>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</si>
  <si>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</si>
  <si>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</si>
  <si>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</si>
  <si>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</si>
  <si>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</si>
  <si>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</si>
  <si>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</si>
  <si>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</si>
  <si>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</si>
  <si>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</si>
  <si>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</si>
  <si>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</si>
  <si>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</si>
  <si>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</si>
  <si>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</si>
  <si>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</si>
  <si>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</si>
  <si>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</si>
  <si>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</si>
  <si>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</si>
  <si>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</si>
  <si>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</si>
  <si>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</si>
  <si>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</si>
  <si>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</si>
  <si>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</si>
  <si>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</si>
  <si>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</si>
  <si>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</si>
  <si>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</si>
  <si>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</si>
  <si>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</si>
  <si>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</si>
  <si>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</si>
  <si>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</si>
  <si>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</si>
  <si>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</si>
  <si>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</si>
  <si>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</si>
  <si>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</si>
  <si>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</si>
  <si>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</si>
  <si>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</si>
  <si>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</si>
  <si>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</si>
  <si>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</si>
  <si>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</si>
  <si>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</si>
  <si>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</si>
  <si>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</si>
  <si>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</si>
  <si>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</si>
  <si>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</si>
  <si>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</si>
  <si>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</si>
  <si>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</si>
  <si>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</si>
  <si>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</si>
  <si>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</si>
  <si>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</si>
  <si>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</si>
  <si>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</si>
  <si>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</si>
  <si>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</si>
  <si>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</si>
  <si>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</si>
  <si>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</si>
  <si>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</si>
  <si>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</si>
  <si>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</si>
  <si>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</si>
  <si>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</si>
  <si>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</si>
  <si>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</si>
  <si>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</si>
  <si>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</si>
  <si>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</si>
  <si>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</si>
  <si>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</si>
  <si>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</si>
  <si>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</si>
  <si>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</si>
  <si>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</si>
  <si>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</si>
  <si>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</si>
  <si>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</si>
  <si>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</si>
  <si>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</si>
  <si>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</si>
  <si>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</si>
  <si>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</si>
  <si>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</si>
  <si>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</si>
  <si>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</si>
  <si>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</si>
  <si>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</si>
  <si>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</si>
  <si>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</si>
  <si>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</si>
  <si>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</si>
  <si>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</si>
  <si>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</si>
  <si>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</si>
  <si>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</si>
  <si>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</si>
  <si>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</si>
  <si>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</si>
  <si>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</si>
  <si>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</si>
  <si>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</si>
  <si>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</si>
  <si>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</si>
  <si>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</si>
  <si>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</si>
  <si>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</si>
  <si>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</si>
  <si>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</si>
  <si>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</si>
  <si>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</si>
  <si>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</si>
  <si>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</si>
  <si>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</si>
  <si>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</si>
  <si>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</si>
  <si>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</si>
  <si>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</si>
  <si>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</si>
  <si>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</si>
  <si>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</si>
  <si>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</si>
  <si>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</si>
  <si>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</si>
  <si>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</si>
  <si>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</si>
  <si>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</si>
  <si>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</si>
  <si>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</si>
  <si>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</si>
  <si>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</si>
  <si>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</si>
  <si>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</si>
  <si>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</si>
  <si>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</si>
  <si>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</si>
  <si>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</si>
  <si>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</si>
  <si>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</si>
  <si>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</si>
  <si>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</si>
  <si>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</si>
  <si>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</si>
  <si>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</si>
  <si>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</si>
  <si>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</si>
  <si>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</si>
  <si>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</si>
  <si>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</si>
  <si>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</si>
  <si>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</si>
  <si>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</si>
  <si>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</si>
  <si>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</si>
  <si>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</si>
  <si>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</si>
  <si>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</si>
  <si>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</si>
  <si>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</si>
  <si>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</si>
  <si>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</si>
  <si>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</si>
  <si>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</si>
  <si>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</si>
  <si>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</si>
  <si>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</si>
  <si>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</si>
  <si>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</si>
  <si>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</si>
  <si>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</si>
  <si>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</si>
  <si>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</si>
  <si>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</si>
  <si>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</si>
  <si>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</si>
  <si>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</si>
  <si>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</si>
  <si>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</si>
  <si>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</si>
  <si>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</si>
  <si>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</si>
  <si>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</si>
  <si>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</si>
  <si>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</si>
  <si>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</si>
  <si>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</si>
  <si>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</si>
  <si>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</si>
  <si>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</si>
  <si>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</si>
  <si>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</si>
  <si>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</si>
  <si>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</si>
  <si>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</si>
  <si>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</si>
  <si>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</si>
  <si>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</si>
  <si>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</si>
  <si>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</si>
  <si>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</si>
  <si>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</si>
  <si>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</si>
  <si>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</si>
  <si>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</si>
  <si>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</si>
  <si>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</si>
  <si>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</si>
  <si>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</si>
  <si>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</si>
  <si>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</si>
  <si>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</si>
  <si>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</si>
  <si>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</si>
  <si>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</si>
  <si>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</si>
  <si>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</si>
  <si>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</si>
  <si>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</si>
  <si>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</si>
  <si>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</si>
  <si>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</si>
  <si>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</si>
  <si>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</si>
  <si>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</si>
  <si>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</si>
  <si>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</si>
  <si>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</si>
  <si>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</si>
  <si>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</si>
  <si>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</si>
  <si>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</si>
  <si>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</si>
  <si>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</si>
  <si>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</si>
  <si>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</si>
  <si>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</si>
  <si>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</si>
  <si>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</si>
  <si>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</si>
  <si>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</si>
  <si>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</si>
  <si>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</si>
  <si>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</si>
  <si>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</si>
  <si>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</si>
  <si>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</si>
  <si>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</si>
  <si>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</si>
  <si>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</si>
  <si>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</si>
  <si>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</si>
  <si>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</si>
  <si>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</si>
  <si>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</si>
  <si>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</si>
  <si>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</si>
  <si>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</si>
  <si>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</si>
  <si>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</si>
  <si>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</si>
  <si>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</si>
  <si>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</si>
  <si>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</si>
  <si>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</si>
  <si>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</si>
  <si>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</si>
  <si>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</si>
  <si>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</si>
  <si>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</si>
  <si>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</si>
  <si>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</si>
  <si>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</si>
  <si>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</si>
  <si>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</si>
  <si>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</si>
  <si>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</si>
  <si>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</si>
  <si>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</si>
  <si>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</si>
  <si>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</si>
  <si>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</si>
  <si>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</si>
  <si>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</si>
  <si>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</si>
  <si>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</si>
  <si>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</si>
  <si>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</si>
  <si>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</si>
  <si>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</si>
  <si>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</si>
  <si>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</si>
  <si>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</si>
  <si>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</si>
  <si>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</si>
  <si>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</si>
  <si>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</si>
  <si>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</si>
  <si>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</si>
  <si>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</si>
  <si>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</si>
  <si>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</si>
  <si>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</si>
  <si>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</si>
  <si>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</si>
  <si>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</si>
  <si>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</si>
  <si>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</si>
  <si>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</si>
  <si>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</si>
  <si>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</si>
  <si>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</si>
  <si>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</si>
  <si>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</si>
  <si>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</si>
  <si>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</si>
  <si>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</si>
  <si>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</si>
  <si>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</si>
  <si>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</si>
  <si>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</si>
  <si>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</si>
  <si>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</si>
  <si>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</si>
  <si>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</si>
  <si>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</si>
  <si>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</si>
  <si>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</si>
  <si>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</si>
  <si>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</si>
  <si>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</si>
  <si>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</si>
  <si>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</si>
  <si>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</si>
  <si>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</si>
  <si>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</si>
  <si>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</si>
  <si>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</si>
  <si>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</si>
  <si>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</si>
  <si>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</si>
  <si>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</si>
  <si>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</si>
  <si>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</si>
  <si>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</si>
  <si>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</si>
  <si>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</si>
  <si>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</si>
  <si>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</si>
  <si>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</si>
  <si>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</si>
  <si>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</si>
  <si>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</si>
  <si>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</si>
  <si>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</si>
  <si>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</si>
  <si>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</si>
  <si>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</si>
  <si>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</si>
  <si>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</si>
  <si>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</si>
  <si>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</si>
  <si>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</si>
  <si>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</si>
  <si>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</si>
  <si>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</si>
  <si>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</si>
  <si>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</si>
  <si>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</si>
  <si>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</si>
  <si>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</si>
  <si>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</si>
  <si>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</si>
  <si>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</si>
  <si>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</si>
  <si>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</si>
  <si>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</si>
  <si>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</si>
  <si>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</si>
  <si>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</si>
  <si>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</si>
  <si>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</si>
  <si>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</si>
  <si>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</si>
  <si>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</si>
  <si>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</si>
  <si>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</si>
  <si>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</si>
  <si>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</si>
  <si>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</si>
  <si>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</si>
  <si>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</si>
  <si>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</si>
  <si>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</si>
  <si>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</si>
  <si>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</si>
  <si>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</si>
  <si>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</si>
  <si>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</si>
  <si>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</si>
  <si>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</si>
  <si>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</si>
  <si>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</si>
  <si>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</si>
  <si>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</si>
  <si>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</si>
  <si>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</si>
  <si>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</si>
  <si>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</si>
  <si>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</si>
  <si>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</si>
  <si>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</si>
  <si>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</si>
  <si>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</si>
  <si>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</si>
  <si>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</si>
  <si>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</si>
  <si>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</si>
  <si>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</si>
  <si>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</si>
  <si>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</si>
  <si>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</si>
  <si>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</si>
  <si>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</si>
  <si>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</si>
  <si>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</si>
  <si>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</si>
  <si>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</si>
  <si>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</si>
  <si>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</si>
  <si>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</si>
  <si>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</si>
  <si>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</si>
  <si>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</si>
  <si>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</si>
  <si>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</si>
  <si>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</si>
  <si>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</si>
  <si>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</si>
  <si>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</si>
  <si>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</si>
  <si>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</si>
  <si>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</si>
  <si>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</si>
  <si>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</si>
  <si>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</si>
  <si>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</si>
  <si>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</si>
  <si>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</si>
  <si>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</si>
  <si>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</si>
  <si>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</si>
  <si>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</si>
  <si>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</si>
  <si>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</si>
  <si>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</si>
  <si>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</si>
  <si>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</si>
  <si>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</si>
  <si>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</si>
  <si>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</si>
  <si>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</si>
  <si>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</si>
  <si>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</si>
  <si>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</si>
  <si>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</si>
  <si>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</si>
  <si>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</si>
  <si>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</si>
  <si>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</si>
  <si>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</si>
  <si>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</si>
  <si>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</si>
  <si>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</si>
  <si>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</si>
  <si>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</si>
  <si>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</si>
  <si>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</si>
  <si>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</si>
  <si>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</si>
  <si>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</si>
  <si>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</si>
  <si>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</si>
  <si>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</si>
  <si>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</si>
  <si>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</si>
  <si>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</si>
  <si>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</si>
  <si>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</si>
  <si>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</si>
  <si>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</si>
  <si>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</si>
  <si>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</si>
  <si>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</si>
  <si>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</si>
  <si>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</si>
  <si>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</si>
  <si>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</si>
  <si>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</si>
  <si>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</si>
  <si>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</si>
  <si>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</si>
  <si>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</si>
  <si>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</si>
  <si>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</si>
  <si>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</si>
  <si>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</si>
  <si>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</si>
  <si>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</si>
  <si>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</si>
  <si>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</si>
  <si>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</si>
  <si>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</si>
  <si>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</si>
  <si>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</si>
  <si>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</si>
  <si>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</si>
  <si>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</si>
  <si>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</si>
  <si>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</si>
  <si>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</si>
  <si>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</si>
  <si>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</si>
  <si>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</si>
  <si>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</si>
  <si>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</si>
  <si>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</si>
  <si>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</si>
  <si>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</si>
  <si>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</si>
  <si>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</si>
  <si>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</si>
  <si>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</si>
  <si>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</si>
  <si>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</si>
  <si>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</si>
  <si>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</si>
  <si>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</si>
  <si>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</si>
  <si>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</si>
  <si>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</si>
  <si>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</si>
  <si>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</si>
  <si>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</si>
  <si>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</si>
  <si>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</si>
  <si>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</si>
  <si>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</si>
  <si>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</si>
  <si>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</si>
  <si>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</si>
  <si>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</si>
  <si>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</si>
  <si>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</si>
  <si>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</si>
  <si>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</si>
  <si>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</si>
  <si>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</si>
  <si>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</si>
  <si>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</si>
  <si>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</si>
  <si>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</si>
  <si>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</si>
  <si>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</si>
  <si>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</si>
  <si>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</si>
  <si>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</si>
  <si>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</si>
  <si>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</si>
  <si>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</si>
  <si>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</si>
  <si>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</si>
  <si>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</si>
  <si>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</si>
  <si>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</si>
  <si>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</si>
  <si>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</si>
  <si>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</si>
  <si>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</si>
  <si>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</si>
  <si>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</si>
  <si>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</si>
  <si>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</si>
  <si>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</si>
  <si>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</si>
  <si>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</si>
  <si>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</si>
  <si>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</si>
  <si>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</si>
  <si>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</si>
  <si>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</si>
  <si>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</si>
  <si>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</si>
  <si>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</si>
  <si>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</si>
  <si>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</si>
  <si>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</si>
  <si>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</si>
  <si>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</si>
  <si>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</si>
  <si>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</si>
  <si>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</si>
  <si>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</si>
  <si>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</si>
  <si>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</si>
  <si>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</si>
  <si>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</si>
  <si>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</si>
  <si>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</si>
  <si>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</si>
  <si>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</si>
  <si>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</si>
  <si>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</si>
  <si>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</si>
  <si>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</si>
  <si>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</si>
  <si>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</si>
  <si>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</si>
  <si>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</si>
  <si>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</si>
  <si>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</si>
  <si>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</si>
  <si>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</si>
  <si>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</si>
  <si>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</si>
  <si>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</si>
  <si>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</si>
  <si>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</si>
  <si>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</si>
  <si>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</si>
  <si>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</si>
  <si>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</si>
  <si>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</si>
  <si>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</si>
  <si>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</si>
  <si>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</si>
  <si>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</si>
  <si>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</si>
  <si>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</si>
  <si>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</si>
  <si>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</si>
  <si>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</si>
  <si>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</si>
  <si>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</si>
  <si>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</si>
  <si>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</si>
  <si>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</si>
  <si>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</si>
  <si>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</si>
  <si>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</si>
  <si>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</si>
  <si>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</si>
  <si>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</si>
  <si>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</si>
  <si>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</si>
  <si>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</si>
  <si>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</si>
  <si>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</si>
  <si>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</si>
  <si>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</si>
  <si>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</si>
  <si>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</si>
  <si>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</si>
  <si>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</si>
  <si>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</si>
  <si>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</si>
  <si>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</si>
  <si>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</si>
  <si>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</si>
  <si>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</si>
  <si>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</si>
  <si>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</si>
  <si>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</si>
  <si>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</si>
  <si>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</si>
  <si>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</si>
  <si>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</si>
  <si>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</si>
  <si>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</si>
  <si>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</si>
  <si>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</si>
  <si>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</si>
  <si>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</si>
  <si>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</si>
  <si>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</si>
  <si>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</si>
  <si>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</si>
  <si>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</si>
  <si>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</si>
  <si>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</si>
  <si>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</si>
  <si>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</si>
  <si>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</si>
  <si>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</si>
  <si>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</si>
  <si>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</si>
  <si>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</si>
  <si>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</si>
  <si>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</si>
  <si>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</si>
  <si>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</si>
  <si>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</si>
  <si>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</si>
  <si>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</si>
  <si>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</si>
  <si>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</si>
  <si>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</si>
  <si>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</si>
  <si>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</si>
  <si>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</si>
  <si>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</si>
  <si>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</si>
  <si>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</si>
  <si>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</si>
  <si>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</si>
  <si>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</si>
  <si>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</si>
  <si>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</si>
  <si>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</si>
  <si>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</si>
  <si>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</si>
  <si>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</si>
  <si>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</si>
  <si>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</si>
  <si>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</si>
  <si>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</si>
  <si>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</si>
  <si>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</si>
  <si>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</si>
  <si>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</si>
  <si>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</si>
  <si>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</si>
  <si>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</si>
  <si>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</si>
  <si>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</si>
  <si>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</si>
  <si>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</si>
  <si>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</si>
  <si>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</si>
  <si>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</si>
  <si>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</si>
  <si>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</si>
  <si>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</si>
  <si>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</si>
  <si>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</si>
  <si>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</si>
  <si>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</si>
  <si>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</si>
  <si>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</si>
  <si>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</si>
  <si>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</si>
  <si>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</si>
  <si>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</si>
  <si>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</si>
  <si>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</si>
  <si>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</si>
  <si>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</si>
  <si>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</si>
  <si>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</si>
  <si>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</si>
  <si>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</si>
  <si>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</si>
  <si>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</si>
  <si>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</si>
  <si>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</si>
  <si>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</si>
  <si>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</si>
  <si>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</si>
  <si>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</si>
  <si>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</si>
  <si>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</si>
  <si>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</si>
  <si>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</si>
  <si>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</si>
  <si>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</si>
  <si>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</si>
  <si>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</si>
  <si>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</si>
  <si>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</si>
  <si>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</si>
  <si>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</si>
  <si>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</si>
  <si>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</si>
  <si>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</si>
  <si>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</si>
  <si>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</si>
  <si>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</si>
  <si>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</si>
  <si>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</si>
  <si>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</si>
  <si>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</si>
  <si>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</si>
  <si>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</si>
  <si>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</si>
  <si>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</si>
  <si>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</si>
  <si>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</si>
  <si>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</si>
  <si>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</si>
  <si>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</si>
  <si>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</si>
  <si>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</si>
  <si>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</si>
  <si>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</si>
  <si>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</si>
  <si>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</si>
  <si>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</si>
  <si>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</si>
  <si>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</si>
  <si>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</si>
  <si>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</si>
  <si>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</si>
  <si>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</si>
  <si>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</si>
  <si>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</si>
  <si>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</si>
  <si>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</si>
  <si>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</si>
  <si>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</si>
  <si>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</si>
  <si>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</si>
  <si>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</si>
  <si>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</si>
  <si>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</si>
  <si>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</si>
  <si>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</si>
  <si>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</si>
  <si>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</si>
  <si>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</si>
  <si>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</si>
  <si>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</si>
  <si>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</si>
  <si>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</si>
  <si>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</si>
  <si>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</si>
  <si>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</si>
  <si>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</si>
  <si>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</si>
  <si>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</si>
  <si>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</si>
  <si>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</si>
  <si>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</si>
  <si>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</si>
  <si>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</si>
  <si>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</si>
  <si>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</si>
  <si>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</si>
  <si>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</si>
  <si>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</si>
  <si>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</si>
  <si>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</si>
  <si>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</si>
  <si>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</si>
  <si>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</si>
  <si>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</si>
  <si>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</si>
  <si>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</si>
  <si>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</si>
  <si>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</si>
  <si>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</si>
  <si>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</si>
  <si>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</si>
  <si>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</si>
  <si>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</si>
  <si>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</si>
  <si>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</si>
  <si>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</si>
  <si>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</si>
  <si>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</si>
  <si>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</si>
  <si>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</si>
  <si>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</si>
  <si>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</si>
  <si>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</si>
  <si>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</si>
  <si>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</si>
  <si>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</si>
  <si>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</si>
  <si>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</si>
  <si>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</si>
  <si>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</si>
  <si>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</si>
  <si>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</si>
  <si>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</si>
  <si>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</si>
  <si>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</si>
  <si>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</si>
  <si>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</si>
  <si>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</si>
  <si>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</si>
  <si>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</si>
  <si>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</si>
  <si>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</si>
  <si>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</si>
  <si>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</si>
  <si>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</si>
  <si>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</si>
  <si>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</si>
  <si>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</si>
  <si>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</si>
  <si>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</si>
  <si>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</si>
  <si>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</si>
  <si>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</si>
  <si>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</si>
  <si>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</si>
  <si>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</si>
  <si>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</si>
  <si>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</si>
  <si>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</si>
  <si>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</si>
  <si>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</si>
  <si>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</si>
  <si>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</si>
  <si>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</si>
  <si>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</si>
  <si>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</si>
  <si>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</si>
  <si>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</si>
  <si>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</si>
  <si>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</si>
  <si>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</si>
  <si>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</si>
  <si>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</si>
  <si>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</si>
  <si>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</si>
  <si>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</si>
  <si>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</si>
  <si>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</si>
  <si>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</si>
  <si>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</si>
  <si>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</si>
  <si>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</si>
  <si>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</si>
  <si>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</si>
  <si>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</si>
  <si>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</si>
  <si>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</si>
  <si>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</si>
  <si>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</si>
  <si>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</si>
  <si>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</si>
  <si>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</si>
  <si>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</si>
  <si>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</si>
  <si>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</si>
  <si>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</si>
  <si>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</si>
  <si>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</si>
  <si>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</si>
  <si>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</si>
  <si>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</si>
  <si>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</si>
  <si>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</si>
  <si>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</si>
  <si>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</si>
  <si>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</si>
  <si>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</si>
  <si>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</si>
  <si>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</si>
  <si>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</si>
  <si>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</si>
  <si>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</si>
  <si>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</si>
  <si>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</si>
  <si>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</si>
  <si>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</si>
  <si>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</si>
  <si>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</si>
  <si>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</si>
  <si>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</si>
  <si>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</si>
  <si>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</si>
  <si>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</si>
  <si>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</si>
  <si>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</si>
  <si>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</si>
  <si>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</si>
  <si>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</si>
  <si>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</si>
  <si>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</si>
  <si>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</si>
  <si>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</si>
  <si>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</si>
  <si>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</si>
  <si>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</si>
  <si>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</si>
  <si>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</si>
  <si>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</si>
  <si>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</si>
  <si>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</si>
  <si>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</si>
  <si>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</si>
  <si>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</si>
  <si>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</si>
  <si>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</si>
  <si>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</si>
  <si>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</si>
  <si>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</si>
  <si>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</si>
  <si>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</si>
  <si>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</si>
  <si>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</si>
  <si>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</si>
  <si>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</si>
  <si>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</si>
  <si>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</si>
  <si>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</si>
  <si>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</si>
  <si>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</si>
  <si>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</si>
  <si>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</si>
  <si>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</si>
  <si>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</si>
  <si>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</si>
  <si>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</si>
  <si>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</si>
  <si>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</si>
  <si>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</si>
  <si>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</si>
  <si>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</si>
  <si>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</si>
  <si>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</si>
  <si>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</si>
  <si>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</si>
  <si>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</si>
  <si>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</si>
  <si>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</si>
  <si>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</si>
  <si>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</si>
  <si>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</si>
  <si>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</si>
  <si>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</si>
  <si>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</si>
  <si>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</si>
  <si>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</si>
  <si>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</si>
  <si>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</si>
  <si>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</si>
  <si>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</si>
  <si>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</si>
  <si>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</si>
  <si>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</si>
  <si>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</si>
  <si>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</si>
  <si>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</si>
  <si>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</si>
  <si>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</si>
  <si>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</si>
  <si>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</si>
  <si>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</si>
  <si>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</si>
  <si>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</si>
  <si>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</si>
  <si>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</si>
  <si>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</si>
  <si>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</si>
  <si>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</si>
  <si>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</si>
  <si>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</si>
  <si>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</si>
  <si>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</si>
  <si>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</si>
  <si>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</si>
  <si>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</si>
  <si>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</si>
  <si>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</si>
  <si>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</si>
  <si>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</si>
  <si>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</si>
  <si>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</si>
  <si>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</si>
  <si>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</si>
  <si>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</si>
  <si>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</si>
  <si>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</si>
  <si>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</si>
  <si>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</si>
  <si>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</si>
  <si>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</si>
  <si>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</si>
  <si>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</si>
  <si>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</si>
  <si>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</si>
  <si>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</si>
  <si>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</si>
  <si>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</si>
  <si>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</si>
  <si>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</si>
  <si>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</si>
  <si>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</si>
  <si>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</si>
  <si>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</si>
  <si>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</si>
  <si>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</si>
  <si>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</si>
  <si>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</si>
  <si>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</si>
  <si>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</si>
  <si>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</si>
  <si>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</si>
  <si>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</si>
  <si>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</si>
  <si>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</si>
  <si>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</si>
  <si>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</si>
  <si>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</si>
  <si>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</si>
  <si>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</si>
  <si>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</si>
  <si>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</si>
  <si>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</si>
  <si>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</si>
  <si>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</si>
  <si>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</si>
  <si>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</si>
  <si>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</si>
  <si>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</si>
  <si>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</si>
  <si>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</si>
  <si>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</si>
  <si>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</si>
  <si>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</si>
  <si>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</si>
  <si>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</si>
  <si>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</si>
  <si>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</si>
  <si>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</si>
  <si>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</si>
  <si>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</si>
  <si>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</si>
  <si>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</si>
  <si>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</si>
  <si>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</si>
  <si>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</si>
  <si>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</si>
  <si>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</si>
  <si>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</si>
  <si>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</si>
  <si>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</si>
  <si>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</si>
  <si>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</si>
  <si>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</si>
  <si>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</si>
  <si>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</si>
  <si>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</si>
  <si>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</si>
  <si>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</si>
  <si>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</si>
  <si>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</si>
  <si>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</si>
  <si>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</si>
  <si>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</si>
  <si>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</si>
  <si>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</si>
  <si>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</si>
  <si>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</si>
  <si>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</si>
  <si>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</si>
  <si>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</si>
  <si>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</si>
  <si>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</si>
  <si>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</si>
  <si>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</si>
  <si>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</si>
  <si>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</si>
  <si>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</si>
  <si>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</si>
  <si>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</si>
  <si>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</si>
  <si>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</si>
  <si>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</si>
  <si>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</si>
  <si>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</si>
  <si>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</si>
  <si>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</si>
  <si>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</si>
  <si>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</si>
  <si>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</si>
  <si>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</si>
  <si>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</si>
  <si>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</si>
  <si>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</si>
  <si>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</si>
  <si>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</si>
  <si>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</si>
  <si>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</si>
  <si>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</si>
  <si>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</si>
  <si>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</si>
  <si>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</si>
  <si>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</si>
  <si>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</si>
  <si>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</si>
  <si>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</si>
  <si>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</si>
  <si>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</si>
  <si>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</si>
  <si>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</si>
  <si>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</si>
  <si>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</si>
  <si>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</si>
  <si>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</si>
  <si>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</si>
  <si>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</si>
  <si>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</si>
  <si>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</si>
  <si>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</si>
  <si>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</si>
  <si>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</si>
  <si>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</si>
  <si>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</si>
  <si>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</si>
  <si>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</si>
  <si>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</si>
  <si>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</si>
  <si>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</si>
  <si>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</si>
  <si>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</si>
  <si>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</si>
  <si>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</si>
  <si>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</si>
  <si>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</si>
  <si>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</si>
  <si>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</si>
  <si>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</si>
  <si>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</si>
  <si>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</si>
  <si>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</si>
  <si>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</si>
  <si>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</si>
  <si>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</si>
  <si>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</si>
  <si>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</si>
  <si>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</si>
  <si>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</si>
  <si>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</si>
  <si>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</si>
  <si>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</si>
  <si>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</si>
  <si>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</si>
  <si>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</si>
  <si>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</si>
  <si>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</si>
  <si>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</si>
  <si>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</si>
  <si>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</si>
  <si>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</si>
  <si>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</si>
  <si>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</si>
  <si>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</si>
  <si>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</si>
  <si>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</si>
  <si>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</si>
  <si>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</si>
  <si>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</si>
  <si>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</si>
  <si>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</si>
  <si>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</si>
  <si>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</si>
  <si>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</si>
  <si>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</si>
  <si>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</si>
  <si>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</si>
  <si>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</si>
  <si>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</si>
  <si>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</si>
  <si>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</si>
  <si>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</si>
  <si>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</si>
  <si>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</si>
  <si>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</si>
  <si>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</si>
  <si>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</si>
  <si>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</si>
  <si>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</si>
  <si>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</si>
  <si>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</si>
  <si>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</si>
  <si>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</si>
  <si>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</si>
  <si>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</si>
  <si>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</si>
  <si>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</si>
  <si>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</si>
  <si>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</si>
  <si>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</si>
  <si>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</si>
  <si>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</si>
  <si>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</si>
  <si>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</si>
  <si>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</si>
  <si>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</si>
  <si>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</si>
  <si>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</si>
  <si>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</si>
  <si>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</si>
  <si>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</si>
  <si>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</si>
  <si>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</si>
  <si>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</si>
  <si>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</si>
  <si>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</si>
  <si>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</si>
  <si>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</si>
  <si>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</si>
  <si>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</si>
  <si>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</si>
  <si>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</si>
  <si>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</si>
  <si>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</si>
  <si>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</si>
  <si>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</si>
  <si>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</si>
  <si>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</si>
  <si>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</si>
  <si>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</si>
  <si>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</si>
  <si>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</si>
  <si>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</si>
  <si>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</si>
  <si>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</si>
  <si>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</si>
  <si>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</si>
  <si>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</si>
  <si>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</si>
  <si>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</si>
  <si>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</si>
  <si>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</si>
  <si>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</si>
  <si>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</si>
  <si>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</si>
  <si>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</si>
  <si>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</si>
  <si>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</si>
  <si>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</si>
  <si>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</si>
  <si>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</si>
  <si>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</si>
  <si>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</si>
  <si>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</si>
  <si>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</si>
  <si>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</si>
  <si>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</si>
  <si>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</si>
  <si>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</si>
  <si>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</si>
  <si>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</si>
  <si>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</si>
  <si>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</si>
  <si>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</si>
  <si>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</si>
  <si>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</si>
  <si>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</si>
  <si>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</si>
  <si>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</si>
  <si>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</si>
  <si>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</si>
  <si>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</si>
  <si>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</si>
  <si>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</si>
  <si>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</si>
  <si>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</si>
  <si>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</si>
  <si>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</si>
  <si>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</si>
  <si>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</si>
  <si>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</si>
  <si>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</si>
  <si>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</si>
  <si>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</si>
  <si>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</si>
  <si>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</si>
  <si>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</si>
  <si>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</si>
  <si>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</si>
  <si>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</si>
  <si>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</si>
  <si>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</si>
  <si>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</si>
  <si>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</si>
  <si>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</si>
  <si>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</si>
  <si>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</si>
  <si>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</si>
  <si>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</si>
  <si>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</si>
  <si>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</si>
  <si>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</si>
  <si>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</si>
  <si>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</si>
  <si>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</si>
  <si>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</si>
  <si>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</si>
  <si>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</si>
  <si>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</si>
  <si>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</si>
  <si>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</si>
  <si>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</si>
  <si>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</si>
  <si>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</si>
  <si>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</si>
  <si>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</si>
  <si>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</si>
  <si>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</si>
  <si>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</si>
  <si>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</si>
  <si>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</si>
  <si>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</si>
  <si>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</si>
  <si>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</si>
  <si>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</si>
  <si>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</si>
  <si>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</si>
  <si>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</si>
  <si>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</si>
  <si>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</si>
  <si>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</si>
  <si>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</si>
  <si>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</si>
  <si>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</si>
  <si>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</si>
  <si>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</si>
  <si>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</si>
  <si>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</si>
  <si>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</si>
  <si>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</si>
  <si>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</si>
  <si>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</si>
  <si>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</si>
  <si>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</si>
  <si>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</si>
  <si>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</si>
  <si>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</si>
  <si>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</si>
  <si>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</si>
  <si>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</si>
  <si>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</si>
  <si>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</si>
  <si>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</si>
  <si>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</si>
  <si>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</si>
  <si>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</si>
  <si>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</si>
  <si>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</si>
  <si>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</si>
  <si>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</si>
  <si>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</si>
  <si>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</si>
  <si>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</si>
  <si>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</si>
  <si>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</si>
  <si>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</si>
  <si>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</si>
  <si>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</si>
  <si>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</si>
  <si>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</si>
  <si>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</si>
  <si>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</si>
  <si>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</si>
  <si>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</si>
  <si>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</si>
  <si>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</si>
  <si>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</si>
  <si>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</si>
  <si>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</si>
  <si>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</si>
  <si>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</si>
  <si>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</si>
  <si>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</si>
  <si>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</si>
  <si>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</si>
  <si>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</si>
  <si>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</si>
  <si>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</si>
  <si>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</si>
  <si>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</si>
  <si>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</si>
  <si>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</si>
  <si>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</si>
  <si>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</si>
  <si>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</si>
  <si>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</si>
  <si>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</si>
  <si>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</si>
  <si>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</si>
  <si>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</si>
  <si>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</si>
  <si>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</si>
  <si>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</si>
  <si>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</si>
  <si>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</si>
  <si>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</si>
  <si>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</si>
  <si>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</si>
  <si>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</si>
  <si>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</si>
  <si>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</si>
  <si>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</si>
  <si>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</si>
  <si>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</si>
  <si>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</si>
  <si>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</si>
  <si>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</si>
  <si>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</si>
  <si>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</si>
  <si>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</si>
  <si>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</si>
  <si>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</si>
  <si>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</si>
  <si>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</si>
  <si>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</si>
  <si>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</si>
  <si>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</si>
  <si>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</si>
  <si>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</si>
  <si>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</si>
  <si>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</si>
  <si>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</si>
  <si>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</si>
  <si>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</si>
  <si>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</si>
  <si>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</si>
  <si>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</si>
  <si>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</si>
  <si>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</si>
  <si>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</si>
  <si>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</si>
  <si>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</si>
  <si>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</si>
  <si>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</si>
  <si>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</si>
  <si>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</si>
  <si>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</si>
  <si>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</si>
  <si>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</si>
  <si>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</si>
  <si>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</si>
  <si>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</si>
  <si>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</si>
  <si>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</si>
  <si>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</si>
  <si>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</si>
  <si>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</si>
  <si>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</si>
  <si>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</si>
  <si>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</si>
  <si>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</si>
  <si>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</si>
  <si>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</si>
  <si>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</si>
  <si>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</si>
  <si>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</si>
  <si>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</si>
  <si>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</si>
  <si>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</si>
  <si>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</si>
  <si>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</si>
  <si>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</si>
  <si>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</si>
  <si>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</si>
  <si>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</si>
  <si>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</si>
  <si>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</si>
  <si>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</si>
  <si>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</si>
  <si>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</si>
  <si>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</si>
  <si>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</si>
  <si>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</si>
  <si>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</si>
  <si>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</si>
  <si>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</si>
  <si>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</si>
  <si>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</si>
  <si>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</si>
  <si>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</si>
  <si>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</si>
  <si>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</si>
  <si>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</si>
  <si>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</si>
  <si>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</si>
  <si>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</si>
  <si>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</si>
  <si>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</si>
  <si>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</si>
  <si>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</si>
  <si>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</si>
  <si>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</si>
  <si>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</si>
  <si>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</si>
  <si>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</si>
  <si>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</si>
  <si>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</si>
  <si>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</si>
  <si>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</si>
  <si>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</si>
  <si>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</si>
  <si>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</si>
  <si>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</si>
  <si>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</si>
  <si>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</si>
  <si>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</si>
  <si>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</si>
  <si>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</si>
  <si>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</si>
  <si>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</si>
  <si>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</si>
  <si>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</si>
  <si>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</si>
  <si>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</si>
  <si>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</si>
  <si>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</si>
  <si>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</si>
  <si>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</si>
  <si>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</si>
  <si>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</si>
  <si>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</si>
  <si>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</si>
  <si>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</si>
  <si>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</si>
  <si>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</si>
  <si>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</si>
  <si>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</si>
  <si>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</si>
  <si>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</si>
  <si>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</si>
  <si>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</si>
  <si>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</si>
  <si>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</si>
  <si>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</si>
  <si>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</si>
  <si>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</si>
  <si>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</si>
  <si>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</si>
  <si>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</si>
  <si>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</si>
  <si>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</si>
  <si>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</si>
  <si>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</si>
  <si>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</si>
  <si>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</si>
  <si>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</si>
  <si>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</si>
  <si>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</si>
  <si>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</si>
  <si>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</si>
  <si>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</si>
  <si>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</si>
  <si>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</si>
  <si>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</si>
  <si>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</si>
  <si>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</si>
  <si>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</si>
  <si>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</si>
  <si>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</si>
  <si>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</si>
  <si>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</si>
  <si>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</si>
  <si>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</si>
  <si>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</si>
  <si>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</si>
  <si>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</si>
  <si>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</si>
  <si>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</si>
  <si>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</si>
  <si>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</si>
  <si>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</si>
  <si>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</si>
  <si>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</si>
  <si>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</si>
  <si>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</si>
  <si>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</si>
  <si>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</si>
  <si>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</si>
  <si>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</si>
  <si>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</si>
  <si>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</si>
  <si>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</si>
  <si>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</si>
  <si>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</si>
  <si>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</si>
  <si>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</si>
  <si>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</si>
  <si>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</si>
  <si>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</si>
  <si>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</si>
  <si>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</si>
  <si>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</si>
  <si>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</si>
  <si>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</si>
  <si>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</si>
  <si>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</si>
  <si>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</si>
  <si>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</si>
  <si>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</si>
  <si>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</si>
  <si>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</si>
  <si>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</si>
  <si>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</si>
  <si>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</si>
  <si>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</si>
  <si>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</si>
  <si>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</si>
  <si>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</si>
  <si>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</si>
  <si>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</si>
  <si>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</si>
  <si>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</si>
  <si>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</si>
  <si>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</si>
  <si>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</si>
  <si>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</si>
  <si>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</si>
  <si>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</si>
  <si>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</si>
  <si>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</si>
  <si>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</si>
  <si>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</si>
  <si>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</si>
  <si>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</si>
  <si>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</si>
  <si>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</si>
  <si>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</si>
  <si>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</si>
  <si>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</si>
  <si>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</si>
  <si>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</si>
  <si>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</si>
  <si>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</si>
  <si>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</si>
  <si>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</si>
  <si>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</si>
  <si>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</si>
  <si>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</si>
  <si>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</si>
  <si>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</si>
  <si>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</si>
  <si>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</si>
  <si>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</si>
  <si>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</si>
  <si>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</si>
  <si>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</si>
  <si>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</si>
  <si>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</si>
  <si>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</si>
  <si>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</si>
  <si>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</si>
  <si>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</si>
  <si>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</si>
  <si>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</si>
  <si>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</si>
  <si>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</si>
  <si>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</si>
  <si>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</si>
  <si>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</si>
  <si>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</si>
  <si>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</si>
  <si>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</si>
  <si>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</si>
  <si>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</si>
  <si>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</si>
  <si>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</si>
  <si>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</si>
  <si>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</si>
  <si>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</si>
  <si>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</si>
  <si>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</si>
  <si>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</si>
  <si>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</si>
  <si>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</si>
  <si>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</si>
  <si>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</si>
  <si>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</si>
  <si>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</si>
  <si>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</si>
  <si>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</si>
  <si>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</si>
  <si>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</si>
  <si>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</si>
  <si>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</si>
  <si>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</si>
  <si>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</si>
  <si>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</si>
  <si>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</si>
  <si>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</si>
  <si>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</si>
  <si>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</si>
  <si>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</si>
  <si>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</si>
  <si>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</si>
  <si>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</si>
  <si>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</si>
  <si>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</si>
  <si>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</si>
  <si>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</si>
  <si>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</si>
  <si>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</si>
  <si>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</si>
  <si>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</si>
  <si>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</si>
  <si>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</si>
  <si>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</si>
  <si>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</si>
  <si>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</si>
  <si>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</si>
  <si>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</si>
  <si>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</si>
  <si>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</si>
  <si>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</si>
  <si>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</si>
  <si>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</si>
  <si>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</si>
  <si>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</si>
  <si>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</si>
  <si>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</si>
  <si>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</si>
  <si>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</si>
  <si>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</si>
  <si>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</si>
  <si>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</si>
  <si>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</si>
  <si>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</si>
  <si>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</si>
  <si>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</si>
  <si>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</si>
  <si>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</si>
  <si>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</si>
  <si>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</si>
  <si>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</si>
  <si>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</si>
  <si>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</si>
  <si>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</si>
  <si>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</si>
  <si>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</si>
  <si>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</si>
  <si>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</si>
  <si>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</si>
  <si>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</si>
  <si>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</si>
  <si>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</si>
  <si>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</si>
  <si>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</si>
  <si>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</si>
  <si>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</si>
  <si>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</si>
  <si>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</si>
  <si>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</si>
  <si>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</si>
  <si>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</si>
  <si>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</si>
  <si>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</si>
  <si>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</si>
  <si>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</si>
  <si>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</si>
  <si>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</si>
  <si>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</si>
  <si>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</si>
  <si>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</si>
  <si>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</si>
  <si>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</si>
  <si>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</si>
  <si>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</si>
  <si>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</si>
  <si>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</si>
  <si>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</si>
  <si>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</si>
  <si>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</si>
  <si>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</si>
  <si>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</si>
  <si>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</si>
  <si>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</si>
  <si>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</si>
  <si>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</si>
  <si>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</si>
  <si>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</si>
  <si>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</si>
  <si>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</si>
  <si>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</si>
  <si>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</si>
  <si>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</si>
  <si>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</si>
  <si>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</si>
  <si>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</si>
  <si>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</si>
  <si>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</si>
  <si>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</si>
  <si>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</si>
  <si>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</si>
  <si>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</si>
  <si>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</si>
  <si>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</si>
  <si>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</si>
  <si>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</si>
  <si>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</si>
  <si>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</si>
  <si>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</si>
  <si>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</si>
  <si>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</si>
  <si>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</si>
  <si>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</si>
  <si>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</si>
  <si>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</si>
  <si>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</si>
  <si>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</si>
  <si>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</si>
  <si>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</si>
  <si>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</si>
  <si>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</si>
  <si>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</si>
  <si>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</si>
  <si>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</si>
  <si>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</si>
  <si>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</si>
  <si>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</si>
  <si>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</si>
  <si>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</si>
  <si>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</si>
  <si>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</si>
  <si>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</si>
  <si>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</si>
  <si>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</si>
  <si>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</si>
  <si>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</si>
  <si>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</si>
  <si>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</si>
  <si>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</si>
  <si>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</si>
  <si>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</si>
  <si>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</si>
  <si>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</si>
  <si>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</si>
  <si>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</si>
  <si>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</si>
  <si>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</si>
  <si>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</si>
  <si>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</si>
  <si>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</si>
  <si>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</si>
  <si>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</si>
  <si>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</si>
  <si>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</si>
  <si>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</si>
  <si>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</si>
  <si>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</si>
  <si>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</si>
  <si>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</si>
  <si>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</si>
  <si>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</si>
  <si>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</si>
  <si>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</si>
  <si>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</si>
  <si>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</si>
  <si>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</si>
  <si>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</si>
  <si>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</si>
  <si>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</si>
  <si>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</si>
  <si>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</si>
  <si>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</si>
  <si>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</si>
  <si>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</si>
  <si>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</si>
  <si>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</si>
  <si>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</si>
  <si>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</si>
  <si>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</si>
  <si>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</si>
  <si>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</si>
  <si>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</si>
  <si>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</si>
  <si>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</si>
  <si>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</si>
  <si>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</si>
  <si>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</si>
  <si>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</si>
  <si>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</si>
  <si>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</si>
  <si>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</si>
  <si>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</si>
  <si>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</si>
  <si>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</si>
  <si>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</si>
  <si>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</si>
  <si>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</si>
  <si>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</si>
  <si>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</si>
  <si>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</si>
  <si>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</si>
  <si>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</si>
  <si>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</si>
  <si>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</si>
  <si>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</si>
  <si>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</si>
  <si>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</si>
  <si>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</si>
  <si>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</si>
  <si>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</si>
  <si>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</si>
  <si>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</si>
  <si>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</si>
  <si>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</si>
  <si>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</si>
  <si>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</si>
  <si>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</si>
  <si>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</si>
  <si>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</si>
  <si>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</si>
  <si>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</si>
  <si>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</si>
  <si>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</si>
  <si>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</si>
  <si>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</si>
  <si>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</si>
  <si>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</si>
  <si>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</si>
  <si>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</si>
  <si>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</si>
  <si>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</si>
  <si>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</si>
  <si>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</si>
  <si>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</si>
  <si>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</si>
  <si>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</si>
  <si>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</si>
  <si>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</si>
  <si>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</si>
  <si>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</si>
  <si>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</si>
  <si>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</si>
  <si>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</si>
  <si>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</si>
  <si>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</si>
  <si>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</si>
  <si>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</si>
  <si>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</si>
  <si>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</si>
  <si>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</si>
  <si>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</si>
  <si>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</si>
  <si>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</si>
  <si>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</si>
  <si>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</si>
  <si>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</si>
  <si>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</si>
  <si>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</si>
  <si>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</si>
  <si>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</si>
  <si>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</si>
  <si>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</si>
  <si>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</si>
  <si>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</si>
  <si>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</si>
  <si>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</si>
  <si>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</si>
  <si>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</si>
  <si>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</si>
  <si>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</si>
  <si>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</si>
  <si>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</si>
  <si>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</si>
  <si>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</si>
  <si>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</si>
  <si>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</si>
  <si>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</si>
  <si>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</si>
  <si>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</si>
  <si>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</si>
  <si>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</si>
  <si>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</si>
  <si>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</si>
  <si>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</si>
  <si>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</si>
  <si>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</si>
  <si>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</si>
  <si>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</si>
  <si>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</si>
  <si>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</si>
  <si>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</si>
  <si>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</si>
  <si>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</si>
  <si>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</si>
  <si>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</si>
  <si>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</si>
  <si>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</si>
  <si>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</si>
  <si>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</si>
  <si>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</si>
  <si>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</si>
  <si>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</si>
  <si>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</si>
  <si>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</si>
  <si>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</si>
  <si>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</si>
  <si>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</si>
  <si>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</si>
  <si>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</si>
  <si>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</si>
  <si>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</si>
  <si>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</si>
  <si>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</si>
  <si>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</si>
  <si>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</si>
  <si>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</si>
  <si>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</si>
  <si>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</si>
  <si>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</si>
  <si>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</si>
  <si>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</si>
  <si>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</si>
  <si>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</si>
  <si>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</si>
  <si>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</si>
  <si>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</si>
  <si>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</si>
  <si>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</si>
  <si>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</si>
  <si>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</si>
  <si>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</si>
  <si>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</si>
  <si>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</si>
  <si>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</si>
  <si>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</si>
  <si>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</si>
  <si>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</si>
  <si>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</si>
  <si>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</si>
  <si>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</si>
  <si>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</si>
  <si>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</si>
  <si>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</si>
  <si>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</si>
  <si>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</si>
  <si>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</si>
  <si>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</si>
  <si>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</si>
  <si>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</si>
  <si>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</si>
  <si>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</si>
  <si>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</si>
  <si>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</si>
  <si>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</si>
  <si>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</si>
  <si>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</si>
  <si>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</si>
  <si>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</si>
  <si>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</si>
  <si>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</si>
  <si>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</si>
  <si>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</si>
  <si>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</si>
  <si>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</si>
  <si>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</si>
  <si>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</si>
  <si>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</si>
  <si>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</si>
  <si>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</si>
  <si>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</si>
  <si>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</si>
  <si>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</si>
  <si>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</si>
  <si>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</si>
  <si>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</si>
  <si>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</si>
  <si>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</si>
  <si>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</si>
  <si>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</si>
  <si>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</si>
  <si>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</si>
  <si>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</si>
  <si>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</si>
  <si>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</si>
  <si>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</si>
  <si>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</si>
  <si>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</si>
  <si>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</si>
  <si>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</si>
  <si>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</si>
  <si>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</si>
  <si>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</si>
  <si>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</si>
  <si>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</si>
  <si>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</si>
  <si>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</si>
  <si>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</si>
  <si>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</si>
  <si>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</si>
  <si>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</si>
  <si>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</si>
  <si>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</si>
  <si>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</si>
  <si>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</si>
  <si>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</si>
  <si>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</si>
  <si>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</si>
  <si>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</si>
  <si>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</si>
  <si>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</si>
  <si>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</si>
  <si>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</si>
  <si>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</si>
  <si>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</si>
  <si>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</si>
  <si>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</si>
  <si>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</si>
  <si>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</si>
  <si>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</si>
  <si>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</si>
  <si>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</si>
  <si>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</si>
  <si>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</si>
  <si>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</si>
  <si>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</si>
  <si>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</si>
  <si>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</si>
  <si>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</si>
  <si>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</si>
  <si>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</si>
  <si>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</si>
  <si>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</si>
  <si>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</si>
  <si>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</si>
  <si>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</si>
  <si>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</si>
  <si>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</si>
  <si>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</si>
  <si>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</si>
  <si>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</si>
  <si>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</si>
  <si>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</si>
  <si>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</si>
  <si>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</si>
  <si>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</si>
  <si>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</si>
  <si>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</si>
  <si>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</si>
  <si>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</si>
  <si>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</si>
  <si>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</si>
  <si>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</si>
  <si>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</si>
  <si>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</si>
  <si>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</si>
  <si>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</si>
  <si>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</si>
  <si>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</si>
  <si>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</si>
  <si>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</si>
  <si>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</si>
  <si>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</si>
  <si>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</si>
  <si>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</si>
  <si>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</si>
  <si>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</si>
  <si>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</si>
  <si>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</si>
  <si>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</si>
  <si>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</si>
  <si>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</si>
  <si>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</si>
  <si>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</si>
  <si>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</si>
  <si>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</si>
  <si>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</si>
  <si>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</si>
  <si>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</si>
  <si>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</si>
  <si>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</si>
  <si>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</si>
  <si>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</si>
  <si>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</si>
  <si>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</si>
  <si>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</si>
  <si>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</si>
  <si>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</si>
  <si>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</si>
  <si>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</si>
  <si>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</si>
  <si>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</si>
  <si>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</si>
  <si>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</si>
  <si>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</si>
  <si>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</si>
  <si>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</si>
  <si>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</si>
  <si>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</si>
  <si>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</si>
  <si>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</si>
  <si>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</si>
  <si>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</si>
  <si>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</si>
  <si>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</si>
  <si>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</si>
  <si>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</si>
  <si>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</si>
  <si>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</si>
  <si>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</si>
  <si>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</si>
  <si>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</si>
  <si>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</si>
  <si>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</si>
  <si>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</si>
  <si>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</si>
  <si>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</si>
  <si>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</si>
  <si>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</si>
  <si>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</si>
  <si>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</si>
  <si>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</si>
  <si>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</si>
  <si>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</si>
  <si>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</si>
  <si>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</si>
  <si>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</si>
  <si>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</si>
  <si>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</si>
  <si>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</si>
  <si>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</si>
  <si>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</si>
  <si>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</si>
  <si>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</si>
  <si>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</si>
  <si>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</si>
  <si>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</si>
  <si>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</si>
  <si>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</si>
  <si>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</si>
  <si>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</si>
  <si>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</si>
  <si>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</si>
  <si>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</si>
  <si>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</si>
  <si>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</si>
  <si>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</si>
  <si>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</si>
  <si>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</si>
  <si>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</si>
  <si>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</si>
  <si>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</si>
  <si>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</si>
  <si>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</si>
  <si>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</si>
  <si>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</si>
  <si>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</si>
  <si>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</si>
  <si>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</si>
  <si>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</si>
  <si>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</si>
  <si>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</si>
  <si>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</si>
  <si>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</si>
  <si>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</si>
  <si>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</si>
  <si>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</si>
  <si>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</si>
  <si>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</si>
  <si>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</si>
  <si>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</si>
  <si>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</si>
  <si>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</si>
  <si>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</si>
  <si>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</si>
  <si>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</si>
  <si>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</si>
  <si>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</si>
  <si>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</si>
  <si>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</si>
  <si>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</si>
  <si>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</si>
  <si>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</si>
  <si>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</si>
  <si>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</si>
  <si>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</si>
  <si>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</si>
  <si>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</si>
  <si>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</si>
  <si>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</si>
  <si>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</si>
  <si>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</si>
  <si>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</si>
  <si>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</si>
  <si>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</si>
  <si>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</si>
  <si>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</si>
  <si>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</si>
  <si>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</si>
  <si>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</si>
  <si>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</si>
  <si>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</si>
  <si>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</si>
  <si>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</si>
  <si>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</si>
  <si>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</si>
  <si>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</si>
  <si>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</si>
  <si>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</si>
  <si>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</si>
  <si>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</si>
  <si>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</si>
  <si>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</si>
  <si>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</si>
  <si>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</si>
  <si>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</si>
  <si>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</si>
  <si>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</si>
  <si>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</si>
  <si>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</si>
  <si>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</si>
  <si>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</si>
  <si>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</si>
  <si>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</si>
  <si>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</si>
  <si>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</si>
  <si>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</si>
  <si>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</si>
  <si>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</si>
  <si>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</si>
  <si>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</si>
  <si>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</si>
  <si>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</si>
  <si>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</si>
  <si>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</si>
  <si>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</si>
  <si>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</si>
  <si>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</si>
  <si>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</si>
  <si>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</si>
  <si>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</si>
  <si>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</si>
  <si>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</si>
  <si>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</si>
  <si>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</si>
  <si>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</si>
  <si>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</si>
  <si>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</si>
  <si>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</si>
  <si>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</si>
  <si>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</si>
  <si>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</si>
  <si>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</si>
  <si>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</si>
  <si>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</si>
  <si>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</si>
  <si>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</si>
  <si>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</si>
  <si>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</si>
  <si>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</si>
  <si>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</si>
  <si>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</si>
  <si>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</si>
  <si>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</si>
  <si>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</si>
  <si>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</si>
  <si>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</si>
  <si>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</si>
  <si>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</si>
  <si>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</si>
  <si>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</si>
  <si>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</si>
  <si>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</si>
  <si>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</si>
  <si>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</si>
  <si>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</si>
  <si>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</si>
  <si>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</si>
  <si>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</si>
  <si>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</si>
  <si>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</si>
  <si>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</si>
  <si>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</si>
  <si>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</si>
  <si>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</si>
  <si>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</si>
  <si>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</si>
  <si>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</si>
  <si>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</si>
  <si>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</si>
  <si>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</si>
  <si>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</si>
  <si>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</si>
  <si>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</si>
  <si>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</si>
  <si>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</si>
  <si>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</si>
  <si>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</si>
  <si>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</si>
  <si>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</si>
  <si>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</si>
  <si>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</si>
  <si>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</si>
  <si>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</si>
  <si>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</si>
  <si>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</si>
  <si>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</si>
  <si>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</si>
  <si>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</si>
  <si>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</si>
  <si>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</si>
  <si>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</si>
  <si>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</si>
  <si>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</si>
  <si>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</si>
  <si>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</si>
  <si>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</si>
  <si>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</si>
  <si>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</si>
  <si>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</si>
  <si>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</si>
  <si>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</si>
  <si>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</si>
  <si>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</si>
  <si>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</si>
  <si>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</si>
  <si>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</si>
  <si>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</si>
  <si>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</si>
  <si>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</si>
  <si>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</si>
  <si>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</si>
  <si>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</si>
  <si>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</si>
  <si>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</si>
  <si>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</si>
  <si>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</si>
  <si>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</si>
  <si>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</si>
  <si>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</si>
  <si>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</si>
  <si>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</si>
  <si>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</si>
  <si>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</si>
  <si>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</si>
  <si>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</si>
  <si>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</si>
  <si>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</si>
  <si>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</si>
  <si>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</si>
  <si>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</si>
  <si>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</si>
  <si>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</si>
  <si>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</si>
  <si>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</si>
  <si>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</si>
  <si>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</si>
  <si>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</si>
  <si>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</si>
  <si>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</si>
  <si>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</si>
  <si>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</si>
  <si>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</si>
  <si>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</si>
  <si>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</si>
  <si>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</si>
  <si>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</si>
  <si>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</si>
  <si>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</si>
  <si>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</si>
  <si>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</si>
  <si>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</si>
  <si>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</si>
  <si>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</si>
  <si>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</si>
  <si>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</si>
  <si>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</si>
  <si>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</si>
  <si>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</si>
  <si>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</si>
  <si>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</si>
  <si>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</si>
  <si>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</si>
  <si>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</si>
  <si>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</si>
  <si>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</si>
  <si>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</si>
  <si>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</si>
  <si>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</si>
  <si>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</si>
  <si>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</si>
  <si>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</si>
  <si>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</si>
  <si>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</si>
  <si>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</si>
  <si>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</si>
  <si>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</si>
  <si>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</si>
  <si>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</si>
  <si>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</si>
  <si>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</si>
  <si>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</si>
  <si>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</si>
  <si>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</si>
  <si>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</si>
  <si>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</si>
  <si>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</si>
  <si>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</si>
  <si>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</si>
  <si>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</si>
  <si>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</si>
  <si>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</si>
  <si>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</si>
  <si>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</si>
  <si>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</si>
  <si>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</si>
  <si>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</si>
  <si>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</si>
  <si>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</si>
  <si>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</si>
  <si>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</si>
  <si>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</si>
  <si>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</si>
  <si>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</si>
  <si>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</si>
  <si>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</si>
  <si>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</si>
  <si>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</si>
  <si>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</si>
  <si>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</si>
  <si>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</si>
  <si>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</si>
  <si>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</si>
  <si>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</si>
  <si>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</si>
  <si>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</si>
  <si>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</si>
  <si>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</si>
  <si>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</si>
  <si>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</si>
  <si>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</si>
  <si>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</si>
  <si>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</si>
  <si>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</si>
  <si>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</si>
  <si>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</si>
  <si>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</si>
  <si>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</si>
  <si>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</si>
  <si>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</si>
  <si>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</si>
  <si>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</si>
  <si>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</si>
  <si>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</si>
  <si>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</si>
  <si>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</si>
  <si>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</si>
  <si>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</si>
  <si>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</si>
  <si>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</si>
  <si>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</si>
  <si>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</si>
  <si>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</si>
  <si>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</si>
  <si>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</si>
  <si>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</si>
  <si>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</si>
  <si>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</si>
  <si>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</si>
  <si>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</si>
  <si>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</si>
  <si>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</si>
  <si>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</si>
  <si>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</si>
  <si>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</si>
  <si>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</si>
  <si>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</si>
  <si>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</si>
  <si>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</si>
  <si>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</si>
  <si>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</si>
  <si>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</si>
  <si>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</si>
  <si>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</si>
  <si>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</si>
  <si>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</si>
  <si>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</si>
  <si>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</si>
  <si>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</si>
  <si>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</si>
  <si>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</si>
  <si>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</si>
  <si>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</si>
  <si>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</si>
  <si>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</si>
  <si>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</si>
  <si>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</si>
  <si>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</si>
  <si>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</si>
  <si>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</si>
  <si>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</si>
  <si>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</si>
  <si>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</si>
  <si>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</si>
  <si>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</si>
  <si>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</si>
  <si>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</si>
  <si>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</si>
  <si>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</si>
  <si>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</si>
  <si>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</si>
  <si>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</si>
  <si>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</si>
  <si>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</si>
  <si>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</si>
  <si>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</si>
  <si>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</si>
  <si>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</si>
  <si>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</si>
  <si>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</si>
  <si>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</si>
  <si>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</si>
  <si>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</si>
  <si>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</si>
  <si>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</si>
  <si>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</si>
  <si>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</si>
  <si>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</si>
  <si>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</si>
  <si>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</si>
  <si>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</si>
  <si>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</si>
  <si>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</si>
  <si>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</si>
  <si>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</si>
  <si>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</si>
  <si>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</si>
  <si>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</si>
  <si>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</si>
  <si>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</si>
  <si>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</si>
  <si>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</si>
  <si>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</si>
  <si>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</si>
  <si>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</si>
  <si>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</si>
  <si>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</si>
  <si>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</si>
  <si>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</si>
  <si>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</si>
  <si>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</si>
  <si>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</si>
  <si>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</si>
  <si>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</si>
  <si>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</si>
  <si>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</si>
  <si>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</si>
  <si>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</si>
  <si>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</si>
  <si>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</si>
  <si>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</si>
  <si>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</si>
  <si>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</si>
  <si>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</si>
  <si>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</si>
  <si>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</si>
  <si>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</si>
  <si>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</si>
  <si>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</si>
  <si>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</si>
  <si>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</si>
  <si>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</si>
  <si>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</si>
  <si>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</si>
  <si>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</si>
  <si>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</si>
  <si>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</si>
  <si>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</si>
  <si>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</si>
  <si>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</si>
  <si>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</si>
  <si>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</si>
  <si>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</si>
  <si>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</si>
  <si>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</si>
  <si>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</si>
  <si>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</si>
  <si>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</si>
  <si>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</si>
  <si>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</si>
  <si>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</si>
  <si>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</si>
  <si>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</si>
  <si>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</si>
  <si>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</si>
  <si>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</si>
  <si>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</si>
  <si>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</si>
  <si>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</si>
  <si>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</si>
  <si>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</si>
  <si>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</si>
  <si>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</si>
  <si>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</si>
  <si>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</si>
  <si>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</si>
  <si>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</si>
  <si>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</si>
  <si>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</si>
  <si>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</si>
  <si>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</si>
  <si>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</si>
  <si>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</si>
  <si>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</si>
  <si>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</si>
  <si>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</si>
  <si>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</si>
  <si>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</si>
  <si>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</si>
  <si>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</si>
  <si>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</si>
  <si>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</si>
  <si>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</si>
  <si>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</si>
  <si>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</si>
  <si>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</si>
  <si>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</si>
  <si>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</si>
  <si>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</si>
  <si>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</si>
  <si>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</si>
  <si>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</si>
  <si>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</si>
  <si>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</si>
  <si>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</si>
  <si>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</si>
  <si>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</si>
  <si>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</si>
  <si>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</si>
  <si>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</si>
  <si>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</si>
  <si>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</si>
  <si>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</si>
  <si>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</si>
  <si>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</si>
  <si>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</si>
  <si>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</si>
  <si>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</si>
  <si>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</si>
  <si>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</si>
  <si>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</si>
  <si>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</si>
  <si>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</si>
  <si>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</si>
  <si>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</si>
  <si>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</si>
  <si>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</si>
  <si>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</si>
  <si>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</si>
  <si>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</si>
  <si>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</si>
  <si>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</si>
  <si>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</si>
  <si>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</si>
  <si>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</si>
  <si>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</si>
  <si>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</si>
  <si>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</si>
  <si>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</si>
  <si>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</si>
  <si>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</si>
  <si>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</si>
  <si>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</si>
  <si>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</si>
  <si>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</si>
  <si>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</si>
  <si>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</si>
  <si>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</si>
  <si>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</si>
  <si>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</si>
  <si>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</si>
  <si>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</si>
  <si>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</si>
  <si>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</si>
  <si>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</si>
  <si>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</si>
  <si>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</si>
  <si>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</si>
  <si>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</si>
  <si>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</si>
  <si>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</si>
  <si>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</si>
  <si>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</si>
  <si>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</si>
  <si>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</si>
  <si>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</si>
  <si>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</si>
  <si>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</si>
  <si>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</si>
  <si>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</si>
  <si>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</si>
  <si>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</si>
  <si>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</si>
  <si>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</si>
  <si>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</si>
  <si>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</si>
  <si>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</si>
  <si>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</si>
  <si>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</si>
  <si>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</si>
  <si>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</si>
  <si>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</si>
  <si>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</si>
  <si>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</si>
  <si>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</si>
  <si>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</si>
  <si>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</si>
  <si>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</si>
  <si>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</si>
  <si>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</si>
  <si>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</si>
  <si>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</si>
  <si>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</si>
  <si>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</si>
  <si>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</si>
  <si>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</si>
  <si>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</si>
  <si>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</si>
  <si>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</si>
  <si>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</si>
  <si>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</si>
  <si>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</si>
  <si>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</si>
  <si>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</si>
  <si>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</si>
  <si>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</si>
  <si>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</si>
  <si>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</si>
  <si>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</si>
  <si>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</si>
  <si>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</si>
  <si>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</si>
  <si>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</si>
  <si>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</si>
  <si>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</si>
  <si>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</si>
  <si>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</si>
  <si>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</si>
  <si>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</si>
  <si>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</si>
  <si>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</si>
  <si>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</si>
  <si>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</si>
  <si>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</si>
  <si>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</si>
  <si>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</si>
  <si>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</si>
  <si>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</si>
  <si>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</si>
  <si>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</si>
  <si>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</si>
  <si>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</si>
  <si>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</si>
  <si>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</si>
  <si>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</si>
  <si>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</si>
  <si>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</si>
  <si>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</si>
  <si>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</si>
  <si>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</si>
  <si>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</si>
  <si>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</si>
  <si>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</si>
  <si>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</si>
  <si>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</si>
  <si>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</si>
  <si>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</si>
  <si>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</si>
  <si>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</si>
  <si>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</si>
  <si>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</si>
  <si>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</si>
  <si>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</si>
  <si>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</si>
  <si>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</si>
  <si>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</si>
  <si>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</si>
  <si>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</si>
  <si>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</si>
  <si>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</si>
  <si>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</si>
  <si>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</si>
  <si>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</si>
  <si>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</si>
  <si>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</si>
  <si>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</si>
  <si>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</si>
  <si>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</si>
  <si>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</si>
  <si>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</si>
  <si>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</si>
  <si>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</si>
  <si>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</si>
  <si>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</si>
  <si>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</si>
  <si>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</si>
  <si>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</si>
  <si>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</si>
  <si>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</si>
  <si>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</si>
  <si>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</si>
  <si>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</si>
  <si>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</si>
  <si>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</si>
  <si>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</si>
  <si>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</si>
  <si>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</si>
  <si>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</si>
  <si>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</si>
  <si>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</si>
  <si>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</si>
  <si>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</si>
  <si>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</si>
  <si>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</si>
  <si>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</si>
  <si>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</si>
  <si>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</si>
  <si>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</si>
  <si>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</si>
  <si>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</si>
  <si>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</si>
  <si>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</si>
  <si>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</si>
  <si>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</si>
  <si>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</si>
  <si>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</si>
  <si>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</si>
  <si>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</si>
  <si>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</si>
  <si>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</si>
  <si>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</si>
  <si>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</si>
  <si>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</si>
  <si>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</si>
  <si>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</si>
  <si>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</si>
  <si>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</si>
  <si>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</si>
  <si>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</si>
  <si>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</si>
  <si>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</si>
  <si>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</si>
  <si>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</si>
  <si>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</si>
  <si>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</si>
  <si>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</si>
  <si>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</si>
  <si>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</si>
  <si>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</si>
  <si>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</si>
  <si>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</si>
  <si>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</si>
  <si>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</si>
  <si>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</si>
  <si>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</si>
  <si>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</si>
  <si>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</si>
  <si>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</si>
  <si>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</si>
  <si>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</si>
  <si>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</si>
  <si>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</si>
  <si>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</si>
  <si>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</si>
  <si>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</si>
  <si>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</si>
  <si>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</si>
  <si>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</si>
  <si>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</si>
  <si>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</si>
  <si>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</si>
  <si>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</si>
  <si>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</si>
  <si>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</si>
  <si>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</si>
  <si>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</si>
  <si>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</si>
  <si>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</si>
  <si>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</si>
  <si>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</si>
  <si>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</si>
  <si>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</si>
  <si>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</si>
  <si>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</si>
  <si>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</si>
  <si>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</si>
  <si>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</si>
  <si>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</si>
  <si>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</si>
  <si>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</si>
  <si>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</si>
  <si>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</si>
  <si>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</si>
  <si>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</si>
  <si>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</si>
  <si>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</si>
  <si>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</si>
  <si>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</si>
  <si>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</si>
  <si>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</si>
  <si>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</si>
  <si>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</si>
  <si>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</si>
  <si>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</si>
  <si>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</si>
  <si>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</si>
  <si>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</si>
  <si>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</si>
  <si>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</si>
  <si>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</si>
  <si>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</si>
  <si>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</si>
  <si>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</si>
  <si>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</si>
  <si>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</si>
  <si>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</si>
  <si>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</si>
  <si>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</si>
  <si>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</si>
  <si>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</si>
  <si>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</si>
  <si>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</si>
  <si>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</si>
  <si>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</si>
  <si>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</si>
  <si>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</si>
  <si>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</si>
  <si>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</si>
  <si>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</si>
  <si>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</si>
  <si>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</si>
  <si>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</si>
  <si>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</si>
  <si>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</si>
  <si>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</si>
  <si>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</si>
  <si>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</si>
  <si>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</si>
  <si>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</si>
  <si>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</si>
  <si>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</si>
  <si>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</si>
  <si>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</si>
  <si>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</si>
  <si>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</si>
  <si>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</si>
  <si>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</si>
  <si>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</si>
  <si>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</si>
  <si>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</si>
  <si>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</si>
  <si>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</si>
  <si>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</si>
  <si>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</si>
  <si>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</si>
  <si>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</si>
  <si>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</si>
  <si>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</si>
  <si>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</si>
  <si>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</si>
  <si>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</si>
  <si>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</si>
  <si>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</si>
  <si>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</si>
  <si>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</si>
  <si>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</si>
  <si>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</si>
  <si>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</si>
  <si>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</si>
  <si>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</si>
  <si>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</si>
  <si>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</si>
  <si>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</si>
  <si>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</si>
  <si>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</si>
  <si>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</si>
  <si>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</si>
  <si>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</si>
  <si>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</si>
  <si>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</si>
  <si>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</si>
  <si>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</si>
  <si>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</si>
  <si>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</si>
  <si>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</si>
  <si>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</si>
  <si>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</si>
  <si>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</si>
  <si>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</si>
  <si>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</si>
  <si>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</si>
  <si>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</si>
  <si>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</si>
  <si>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</si>
  <si>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</si>
  <si>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</si>
  <si>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</si>
  <si>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</si>
  <si>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</si>
  <si>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</si>
  <si>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</si>
  <si>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</si>
  <si>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</si>
  <si>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</si>
  <si>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</si>
  <si>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</si>
  <si>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</si>
  <si>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</si>
  <si>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</si>
  <si>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</si>
  <si>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</si>
  <si>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</si>
  <si>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</si>
  <si>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</si>
  <si>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</si>
  <si>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</si>
  <si>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</si>
  <si>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</si>
  <si>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</si>
  <si>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</si>
  <si>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</si>
  <si>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</si>
  <si>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</si>
  <si>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</si>
  <si>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</si>
  <si>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</si>
  <si>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</si>
  <si>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</si>
  <si>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</si>
  <si>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</si>
  <si>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</si>
  <si>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</si>
  <si>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</si>
  <si>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</si>
  <si>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</si>
  <si>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</si>
  <si>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</si>
  <si>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</si>
  <si>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</si>
  <si>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</si>
  <si>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</si>
  <si>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</si>
  <si>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</si>
  <si>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</si>
  <si>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</si>
  <si>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</si>
  <si>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</si>
  <si>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</si>
  <si>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</si>
  <si>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</si>
  <si>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</si>
  <si>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</si>
  <si>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</si>
  <si>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</si>
  <si>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</si>
  <si>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</si>
  <si>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</si>
  <si>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</si>
  <si>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</si>
  <si>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</si>
  <si>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</si>
  <si>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</si>
  <si>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</si>
  <si>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</si>
  <si>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</si>
  <si>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</si>
  <si>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</si>
  <si>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</si>
  <si>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</si>
  <si>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</si>
  <si>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</si>
  <si>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</si>
  <si>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</si>
  <si>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</si>
  <si>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</si>
  <si>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</si>
  <si>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</si>
  <si>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</si>
  <si>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</si>
  <si>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</si>
  <si>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</si>
  <si>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</si>
  <si>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</si>
  <si>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</si>
  <si>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</si>
  <si>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</si>
  <si>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</si>
  <si>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</si>
  <si>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</si>
  <si>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</si>
  <si>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</si>
  <si>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</si>
  <si>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</si>
  <si>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</si>
  <si>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</si>
  <si>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</si>
  <si>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</si>
  <si>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</si>
  <si>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</si>
  <si>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</si>
  <si>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</si>
  <si>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</si>
  <si>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</si>
  <si>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</si>
  <si>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</si>
  <si>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</si>
  <si>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</si>
  <si>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</si>
  <si>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</si>
  <si>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</si>
  <si>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</si>
  <si>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</si>
  <si>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</si>
  <si>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</si>
  <si>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</si>
  <si>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</si>
  <si>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</si>
  <si>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</si>
  <si>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</si>
  <si>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</si>
  <si>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</si>
  <si>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</si>
  <si>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</si>
  <si>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</si>
  <si>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</si>
  <si>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</si>
  <si>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</si>
  <si>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</si>
  <si>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</si>
  <si>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</si>
  <si>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</si>
  <si>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</si>
  <si>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</si>
  <si>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</si>
  <si>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</si>
  <si>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</si>
  <si>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</si>
  <si>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</si>
  <si>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</si>
  <si>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</si>
  <si>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</si>
  <si>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</si>
  <si>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</si>
  <si>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</si>
  <si>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</si>
  <si>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</si>
  <si>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</si>
  <si>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</si>
  <si>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10860 تا 1495</t>
  </si>
  <si>
    <t>وغدیر 20346 تا 1451</t>
  </si>
  <si>
    <t>(--user-data-dir</t>
  </si>
  <si>
    <t>15/10/1400</t>
  </si>
  <si>
    <t>طلب نوسانگیری و مانده سکه 6584</t>
  </si>
  <si>
    <t>وغدیر 10295 تا 1455</t>
  </si>
  <si>
    <t>وغدیر 120744 تا 1445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</si>
</sst>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0"/>
      <c r="K2" s="440"/>
      <c r="L2" s="407"/>
    </row>
    <row r="3" spans="1:15">
      <c r="A3" s="40"/>
      <c r="B3" s="40"/>
      <c r="C3" s="40"/>
      <c r="D3" s="40"/>
      <c r="E3" s="40"/>
      <c r="F3" s="40"/>
      <c r="G3" s="40"/>
      <c r="H3" s="40"/>
      <c r="I3" s="40"/>
      <c r="J3" s="440"/>
      <c r="K3" s="440"/>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3">
        <v>283180</v>
      </c>
      <c r="B336" s="454">
        <v>283100</v>
      </c>
      <c r="C336" s="454">
        <v>284480</v>
      </c>
      <c r="D336" s="454">
        <v>284240</v>
      </c>
      <c r="E336" s="455">
        <v>580</v>
      </c>
      <c r="F336" s="456">
        <v>2E-3</v>
      </c>
      <c r="G336" s="457">
        <v>44511</v>
      </c>
      <c r="H336" s="458" t="s">
        <v>7031</v>
      </c>
      <c r="I336" s="40" t="s">
        <v>6633</v>
      </c>
      <c r="L336" s="40" t="str">
        <f t="shared" si="6"/>
        <v>USD,20211111,279840,284480,279700,284240,1,1,1</v>
      </c>
    </row>
    <row r="337" spans="1:12" ht="15.75" thickBot="1">
      <c r="A337" s="441">
        <v>281760</v>
      </c>
      <c r="B337" s="442">
        <v>281400</v>
      </c>
      <c r="C337" s="442">
        <v>283880</v>
      </c>
      <c r="D337" s="442">
        <v>283660</v>
      </c>
      <c r="E337" s="443">
        <v>2600</v>
      </c>
      <c r="F337" s="444">
        <v>9.2999999999999992E-3</v>
      </c>
      <c r="G337" s="445">
        <v>44510</v>
      </c>
      <c r="H337" s="446" t="s">
        <v>7032</v>
      </c>
      <c r="I337" s="40" t="s">
        <v>6633</v>
      </c>
      <c r="L337" s="40" t="str">
        <f t="shared" si="6"/>
        <v>USD,20211110,278010,283880,277200,283660,1,1,1</v>
      </c>
    </row>
    <row r="338" spans="1:12" ht="15.75" thickBot="1">
      <c r="A338" s="447">
        <v>280230</v>
      </c>
      <c r="B338" s="448">
        <v>280200</v>
      </c>
      <c r="C338" s="448">
        <v>281780</v>
      </c>
      <c r="D338" s="448">
        <v>281060</v>
      </c>
      <c r="E338" s="449">
        <v>820</v>
      </c>
      <c r="F338" s="450">
        <v>2.8999999999999998E-3</v>
      </c>
      <c r="G338" s="451">
        <v>44509</v>
      </c>
      <c r="H338" s="452"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abSelected="1" topLeftCell="G142" zoomScale="85" zoomScaleNormal="85" workbookViewId="0">
      <selection activeCell="Q167" sqref="Q167"/>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45">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ht="30">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936</v>
      </c>
      <c r="S32" s="97">
        <f>P32*R32</f>
        <v>7020000000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932</v>
      </c>
      <c r="S33" s="97">
        <f t="shared" ref="S33:S96" si="11">P33*R33</f>
        <v>-466000000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925</v>
      </c>
      <c r="S34" s="97">
        <f t="shared" si="11"/>
        <v>-6475000000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924</v>
      </c>
      <c r="S35" s="97">
        <f t="shared" si="11"/>
        <v>1848000000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918</v>
      </c>
      <c r="S36" s="97">
        <f t="shared" si="11"/>
        <v>918000000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915</v>
      </c>
      <c r="S37" s="97">
        <f t="shared" si="11"/>
        <v>183000000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912</v>
      </c>
      <c r="S38" s="97">
        <f t="shared" si="11"/>
        <v>-2918400000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906</v>
      </c>
      <c r="S39" s="97">
        <f t="shared" si="11"/>
        <v>5436000000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905</v>
      </c>
      <c r="S40" s="97">
        <f t="shared" si="11"/>
        <v>1810000000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902</v>
      </c>
      <c r="S41" s="97">
        <f t="shared" si="11"/>
        <v>-45100000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895</v>
      </c>
      <c r="S42" s="97">
        <f t="shared" si="11"/>
        <v>-2219600000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890</v>
      </c>
      <c r="S43" s="97">
        <f t="shared" si="11"/>
        <v>267000000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889</v>
      </c>
      <c r="S44" s="97">
        <f t="shared" si="11"/>
        <v>266700000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883</v>
      </c>
      <c r="S45" s="97">
        <f t="shared" si="11"/>
        <v>441500000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881</v>
      </c>
      <c r="S46" s="97">
        <f t="shared" si="11"/>
        <v>88100000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880</v>
      </c>
      <c r="S47" s="97">
        <f t="shared" si="11"/>
        <v>-5652790880</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879</v>
      </c>
      <c r="S48" s="97">
        <f t="shared" si="11"/>
        <v>-4036795194</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879</v>
      </c>
      <c r="S49" s="97">
        <f t="shared" si="11"/>
        <v>3820232448</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868</v>
      </c>
      <c r="S50" s="97">
        <f t="shared" si="11"/>
        <v>1302000000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852</v>
      </c>
      <c r="S51" s="97">
        <f t="shared" si="11"/>
        <v>5112000000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844</v>
      </c>
      <c r="S52" s="97">
        <f t="shared" si="11"/>
        <v>-42200000</v>
      </c>
      <c r="T52" s="97"/>
      <c r="U52" s="94"/>
      <c r="V52" s="94"/>
    </row>
    <row r="53" spans="1:32">
      <c r="A53" s="120" t="s">
        <v>5764</v>
      </c>
      <c r="B53" s="18">
        <f>B50*B51/B52</f>
        <v>600</v>
      </c>
      <c r="E53" s="94"/>
      <c r="F53" s="94"/>
      <c r="G53" s="94"/>
      <c r="O53" s="97" t="s">
        <v>5037</v>
      </c>
      <c r="P53" s="18">
        <v>-20000</v>
      </c>
      <c r="Q53" s="97">
        <v>7</v>
      </c>
      <c r="R53" s="97">
        <f t="shared" si="10"/>
        <v>841</v>
      </c>
      <c r="S53" s="97">
        <f t="shared" si="11"/>
        <v>-16820000</v>
      </c>
      <c r="T53" s="97"/>
      <c r="U53" s="94"/>
      <c r="V53" s="94"/>
    </row>
    <row r="54" spans="1:32">
      <c r="A54" s="120" t="s">
        <v>5765</v>
      </c>
      <c r="B54" s="120">
        <v>872000000</v>
      </c>
      <c r="E54" s="94"/>
      <c r="F54" s="94"/>
      <c r="G54" s="94"/>
      <c r="O54" s="97" t="s">
        <v>4996</v>
      </c>
      <c r="P54" s="18">
        <v>6000000</v>
      </c>
      <c r="Q54" s="97">
        <v>1</v>
      </c>
      <c r="R54" s="97">
        <f t="shared" si="10"/>
        <v>834</v>
      </c>
      <c r="S54" s="97">
        <f t="shared" si="11"/>
        <v>5004000000</v>
      </c>
      <c r="T54" s="97"/>
      <c r="U54" s="94"/>
      <c r="V54" s="94"/>
    </row>
    <row r="55" spans="1:32">
      <c r="A55" s="120" t="s">
        <v>5766</v>
      </c>
      <c r="B55" s="18">
        <v>750</v>
      </c>
      <c r="E55" s="94"/>
      <c r="F55" s="94"/>
      <c r="N55" t="s">
        <v>25</v>
      </c>
      <c r="O55" s="97" t="s">
        <v>5053</v>
      </c>
      <c r="P55" s="18">
        <v>-2302282</v>
      </c>
      <c r="Q55" s="97">
        <v>6</v>
      </c>
      <c r="R55" s="97">
        <f t="shared" si="10"/>
        <v>833</v>
      </c>
      <c r="S55" s="97">
        <f t="shared" si="11"/>
        <v>-1917800906</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827</v>
      </c>
      <c r="S56" s="97">
        <f t="shared" si="11"/>
        <v>82700000</v>
      </c>
      <c r="T56" s="97"/>
      <c r="U56" s="94"/>
      <c r="V56" s="94"/>
    </row>
    <row r="57" spans="1:32">
      <c r="A57" s="120"/>
      <c r="B57" s="120"/>
      <c r="C57" s="94" t="s">
        <v>5082</v>
      </c>
      <c r="D57" s="94">
        <v>1000000</v>
      </c>
      <c r="E57" s="94"/>
      <c r="F57" s="94"/>
      <c r="O57" s="97" t="s">
        <v>5061</v>
      </c>
      <c r="P57" s="18">
        <v>-1727718</v>
      </c>
      <c r="Q57" s="97">
        <v>2</v>
      </c>
      <c r="R57" s="97">
        <f t="shared" si="10"/>
        <v>826</v>
      </c>
      <c r="S57" s="97">
        <f t="shared" si="11"/>
        <v>-1427095068</v>
      </c>
      <c r="T57" s="97"/>
      <c r="U57" s="94"/>
      <c r="V57" s="94"/>
    </row>
    <row r="58" spans="1:32">
      <c r="A58" s="120"/>
      <c r="B58" s="18"/>
      <c r="C58" s="94" t="s">
        <v>5077</v>
      </c>
      <c r="D58" s="94" t="s">
        <v>5078</v>
      </c>
      <c r="E58" s="94"/>
      <c r="F58" s="94"/>
      <c r="O58" s="97" t="s">
        <v>5065</v>
      </c>
      <c r="P58" s="18">
        <v>-1000000</v>
      </c>
      <c r="Q58" s="97">
        <v>0</v>
      </c>
      <c r="R58" s="97">
        <f t="shared" si="10"/>
        <v>824</v>
      </c>
      <c r="S58" s="97">
        <f t="shared" si="11"/>
        <v>-824000000</v>
      </c>
      <c r="T58" s="97"/>
      <c r="U58" s="94"/>
      <c r="V58" s="94"/>
    </row>
    <row r="59" spans="1:32">
      <c r="A59" s="120"/>
      <c r="B59" s="94"/>
      <c r="E59" s="94"/>
      <c r="F59" s="94"/>
      <c r="O59" s="97" t="s">
        <v>5065</v>
      </c>
      <c r="P59" s="18">
        <v>-439200</v>
      </c>
      <c r="Q59" s="97">
        <v>1</v>
      </c>
      <c r="R59" s="97">
        <f t="shared" si="10"/>
        <v>824</v>
      </c>
      <c r="S59" s="97">
        <f t="shared" si="11"/>
        <v>-361900800</v>
      </c>
      <c r="T59" s="97"/>
      <c r="U59" s="94"/>
      <c r="V59" s="94"/>
    </row>
    <row r="60" spans="1:32">
      <c r="A60" s="94"/>
      <c r="B60" s="94"/>
      <c r="E60" s="94"/>
      <c r="F60" s="94"/>
      <c r="M60" t="s">
        <v>25</v>
      </c>
      <c r="O60" s="97" t="s">
        <v>5068</v>
      </c>
      <c r="P60" s="18">
        <v>-3631879</v>
      </c>
      <c r="Q60" s="97">
        <v>3</v>
      </c>
      <c r="R60" s="97">
        <f t="shared" si="10"/>
        <v>823</v>
      </c>
      <c r="S60" s="97">
        <f t="shared" si="11"/>
        <v>-2989036417</v>
      </c>
      <c r="T60" s="97"/>
      <c r="U60" s="94"/>
      <c r="V60" s="94"/>
    </row>
    <row r="61" spans="1:32">
      <c r="A61" s="94"/>
      <c r="B61" s="94"/>
      <c r="E61" s="94"/>
      <c r="F61" s="94"/>
      <c r="M61" t="s">
        <v>25</v>
      </c>
      <c r="O61" s="97" t="s">
        <v>5093</v>
      </c>
      <c r="P61" s="18">
        <v>-2428921</v>
      </c>
      <c r="Q61" s="97">
        <v>9</v>
      </c>
      <c r="R61" s="97">
        <f t="shared" si="10"/>
        <v>820</v>
      </c>
      <c r="S61" s="97">
        <f t="shared" si="11"/>
        <v>-1991715220</v>
      </c>
      <c r="T61" s="97"/>
      <c r="U61" s="94"/>
      <c r="V61" s="94"/>
    </row>
    <row r="62" spans="1:32">
      <c r="A62" s="94"/>
      <c r="B62" s="94"/>
      <c r="E62" s="94"/>
      <c r="F62" s="94"/>
      <c r="O62" s="97" t="s">
        <v>5112</v>
      </c>
      <c r="P62" s="18">
        <v>-500000</v>
      </c>
      <c r="Q62" s="97">
        <v>1</v>
      </c>
      <c r="R62" s="97">
        <f t="shared" si="10"/>
        <v>811</v>
      </c>
      <c r="S62" s="97">
        <f t="shared" si="11"/>
        <v>-405500000</v>
      </c>
      <c r="T62" s="97"/>
      <c r="U62" s="94"/>
      <c r="V62" s="94"/>
    </row>
    <row r="63" spans="1:32">
      <c r="A63" s="94"/>
      <c r="B63" s="94" t="s">
        <v>4824</v>
      </c>
      <c r="C63" s="94" t="s">
        <v>4245</v>
      </c>
      <c r="D63" s="94" t="s">
        <v>4419</v>
      </c>
      <c r="E63" s="94" t="s">
        <v>5080</v>
      </c>
      <c r="F63" s="94" t="s">
        <v>5386</v>
      </c>
      <c r="O63" s="97" t="s">
        <v>5113</v>
      </c>
      <c r="P63" s="18">
        <v>-2603</v>
      </c>
      <c r="Q63" s="97">
        <v>0</v>
      </c>
      <c r="R63" s="97">
        <f t="shared" si="10"/>
        <v>810</v>
      </c>
      <c r="S63" s="97">
        <f t="shared" si="11"/>
        <v>-2108430</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5127</v>
      </c>
      <c r="P66" s="18">
        <v>300000</v>
      </c>
      <c r="Q66" s="97">
        <v>3</v>
      </c>
      <c r="R66" s="97">
        <f t="shared" si="10"/>
        <v>798</v>
      </c>
      <c r="S66" s="97">
        <f t="shared" si="11"/>
        <v>239400000</v>
      </c>
      <c r="T66" s="97"/>
      <c r="U66" s="94"/>
      <c r="V66" s="94"/>
    </row>
    <row r="67" spans="1:22">
      <c r="A67" s="94"/>
      <c r="B67" s="94"/>
      <c r="E67" s="94"/>
      <c r="F67" s="94"/>
      <c r="O67" s="97" t="s">
        <v>5133</v>
      </c>
      <c r="P67" s="18">
        <v>-50000</v>
      </c>
      <c r="Q67" s="97">
        <v>3</v>
      </c>
      <c r="R67" s="97">
        <f t="shared" si="10"/>
        <v>795</v>
      </c>
      <c r="S67" s="97">
        <f t="shared" si="11"/>
        <v>-39750000</v>
      </c>
      <c r="T67" s="97"/>
      <c r="U67" s="94"/>
      <c r="V67" s="94"/>
    </row>
    <row r="68" spans="1:22">
      <c r="A68" s="94"/>
      <c r="B68" s="94"/>
      <c r="E68" s="94"/>
      <c r="F68" s="94"/>
      <c r="O68" s="97" t="s">
        <v>5138</v>
      </c>
      <c r="P68" s="18">
        <v>-1683146</v>
      </c>
      <c r="Q68" s="97">
        <v>10</v>
      </c>
      <c r="R68" s="97">
        <f t="shared" si="10"/>
        <v>792</v>
      </c>
      <c r="S68" s="97">
        <f t="shared" si="11"/>
        <v>-1333051632</v>
      </c>
      <c r="T68" s="97"/>
      <c r="U68" s="94"/>
      <c r="V68" s="94"/>
    </row>
    <row r="69" spans="1:22">
      <c r="A69" s="94"/>
      <c r="B69" s="94"/>
      <c r="E69" s="94"/>
      <c r="F69" s="94"/>
      <c r="O69" s="97" t="s">
        <v>5150</v>
      </c>
      <c r="P69" s="18">
        <v>700000</v>
      </c>
      <c r="Q69" s="97">
        <v>18</v>
      </c>
      <c r="R69" s="97">
        <f t="shared" si="10"/>
        <v>782</v>
      </c>
      <c r="S69" s="97">
        <f t="shared" si="11"/>
        <v>547400000</v>
      </c>
      <c r="T69" s="97"/>
      <c r="U69" s="94"/>
      <c r="V69" s="94"/>
    </row>
    <row r="70" spans="1:22">
      <c r="A70" s="94" t="s">
        <v>5786</v>
      </c>
      <c r="B70" s="94"/>
      <c r="E70" s="94"/>
      <c r="F70" s="94"/>
      <c r="K70" t="s">
        <v>25</v>
      </c>
      <c r="O70" s="97" t="s">
        <v>5163</v>
      </c>
      <c r="P70" s="18">
        <v>-700000</v>
      </c>
      <c r="Q70" s="97">
        <v>46</v>
      </c>
      <c r="R70" s="97">
        <f t="shared" si="10"/>
        <v>764</v>
      </c>
      <c r="S70" s="97">
        <f t="shared" si="11"/>
        <v>-534800000</v>
      </c>
      <c r="T70" s="97"/>
    </row>
    <row r="71" spans="1:22">
      <c r="A71" s="94" t="s">
        <v>5778</v>
      </c>
      <c r="B71" s="94"/>
      <c r="E71" s="94"/>
      <c r="F71" s="94"/>
      <c r="O71" s="97" t="s">
        <v>5213</v>
      </c>
      <c r="P71" s="18">
        <v>1000000</v>
      </c>
      <c r="Q71" s="97">
        <v>4</v>
      </c>
      <c r="R71" s="97">
        <f t="shared" si="10"/>
        <v>718</v>
      </c>
      <c r="S71" s="97">
        <f t="shared" si="11"/>
        <v>718000000</v>
      </c>
      <c r="T71" s="97"/>
    </row>
    <row r="72" spans="1:22">
      <c r="A72" s="94" t="s">
        <v>5779</v>
      </c>
      <c r="B72" s="94"/>
      <c r="E72" s="94"/>
      <c r="F72" s="94"/>
      <c r="O72" s="97" t="s">
        <v>5217</v>
      </c>
      <c r="P72" s="18">
        <v>1500000</v>
      </c>
      <c r="Q72" s="97">
        <v>1</v>
      </c>
      <c r="R72" s="97">
        <f t="shared" si="10"/>
        <v>714</v>
      </c>
      <c r="S72" s="97">
        <f t="shared" si="11"/>
        <v>1071000000</v>
      </c>
      <c r="T72" s="97"/>
    </row>
    <row r="73" spans="1:22">
      <c r="A73" t="s">
        <v>5787</v>
      </c>
      <c r="B73" s="94"/>
      <c r="E73" s="94"/>
      <c r="F73" s="94"/>
      <c r="O73" s="97" t="s">
        <v>5218</v>
      </c>
      <c r="P73" s="18">
        <v>-1500000</v>
      </c>
      <c r="Q73" s="97">
        <v>15</v>
      </c>
      <c r="R73" s="97">
        <f t="shared" si="10"/>
        <v>713</v>
      </c>
      <c r="S73" s="97">
        <f t="shared" si="11"/>
        <v>-1069500000</v>
      </c>
      <c r="T73" s="97"/>
    </row>
    <row r="74" spans="1:22">
      <c r="A74" t="s">
        <v>5483</v>
      </c>
      <c r="B74" s="94"/>
      <c r="E74" s="94"/>
      <c r="F74" s="94"/>
      <c r="O74" s="97" t="s">
        <v>5241</v>
      </c>
      <c r="P74" s="18">
        <v>-100000</v>
      </c>
      <c r="Q74" s="97">
        <v>5</v>
      </c>
      <c r="R74" s="97">
        <f t="shared" si="10"/>
        <v>698</v>
      </c>
      <c r="S74" s="97">
        <f t="shared" si="11"/>
        <v>-69800000</v>
      </c>
      <c r="T74" s="97"/>
    </row>
    <row r="75" spans="1:22">
      <c r="A75" s="94" t="s">
        <v>4832</v>
      </c>
      <c r="B75" s="94"/>
      <c r="E75" s="94"/>
      <c r="F75" s="94"/>
      <c r="O75" s="97" t="s">
        <v>5245</v>
      </c>
      <c r="P75" s="18">
        <v>1164690</v>
      </c>
      <c r="Q75" s="97">
        <v>4</v>
      </c>
      <c r="R75" s="97">
        <f t="shared" si="10"/>
        <v>693</v>
      </c>
      <c r="S75" s="97">
        <f t="shared" si="11"/>
        <v>807130170</v>
      </c>
      <c r="T75" s="97"/>
      <c r="U75" t="s">
        <v>25</v>
      </c>
    </row>
    <row r="76" spans="1:22">
      <c r="A76" s="94" t="s">
        <v>4831</v>
      </c>
      <c r="B76" s="94"/>
      <c r="E76" s="94"/>
      <c r="F76" s="94"/>
      <c r="O76" s="97" t="s">
        <v>5254</v>
      </c>
      <c r="P76" s="18">
        <v>1000000</v>
      </c>
      <c r="Q76" s="97">
        <v>4</v>
      </c>
      <c r="R76" s="97">
        <f t="shared" si="10"/>
        <v>689</v>
      </c>
      <c r="S76" s="97">
        <f t="shared" si="11"/>
        <v>689000000</v>
      </c>
      <c r="T76" s="97"/>
    </row>
    <row r="77" spans="1:22">
      <c r="A77" s="94" t="s">
        <v>5781</v>
      </c>
      <c r="B77" s="94"/>
      <c r="C77" s="94" t="s">
        <v>25</v>
      </c>
      <c r="E77" s="94"/>
      <c r="F77" s="94"/>
      <c r="O77" s="97" t="s">
        <v>5259</v>
      </c>
      <c r="P77" s="18">
        <v>-264690</v>
      </c>
      <c r="Q77" s="97">
        <v>7</v>
      </c>
      <c r="R77" s="97">
        <f t="shared" si="10"/>
        <v>685</v>
      </c>
      <c r="S77" s="97">
        <f t="shared" si="11"/>
        <v>-181312650</v>
      </c>
      <c r="T77" s="97"/>
    </row>
    <row r="78" spans="1:22">
      <c r="A78" s="94" t="s">
        <v>5782</v>
      </c>
      <c r="B78" s="94"/>
      <c r="E78" s="94"/>
      <c r="F78" s="94"/>
      <c r="O78" s="97" t="s">
        <v>5275</v>
      </c>
      <c r="P78" s="18">
        <v>2700000</v>
      </c>
      <c r="Q78" s="97">
        <v>0</v>
      </c>
      <c r="R78" s="97">
        <f t="shared" si="10"/>
        <v>678</v>
      </c>
      <c r="S78" s="97">
        <f t="shared" si="11"/>
        <v>1830600000</v>
      </c>
      <c r="T78" s="97"/>
    </row>
    <row r="79" spans="1:22">
      <c r="A79" t="s">
        <v>5798</v>
      </c>
      <c r="B79" s="94"/>
      <c r="E79" s="94"/>
      <c r="F79" s="94"/>
      <c r="N79" t="s">
        <v>25</v>
      </c>
      <c r="O79" s="97" t="s">
        <v>5275</v>
      </c>
      <c r="P79" s="18">
        <v>-1000000</v>
      </c>
      <c r="Q79" s="97">
        <v>1</v>
      </c>
      <c r="R79" s="97">
        <f t="shared" si="10"/>
        <v>678</v>
      </c>
      <c r="S79" s="97">
        <f t="shared" si="11"/>
        <v>-678000000</v>
      </c>
      <c r="T79" s="97" t="s">
        <v>5277</v>
      </c>
    </row>
    <row r="80" spans="1:22">
      <c r="A80" t="s">
        <v>4476</v>
      </c>
      <c r="B80" s="94"/>
      <c r="E80" s="94"/>
      <c r="F80" s="94"/>
      <c r="O80" s="97" t="s">
        <v>5279</v>
      </c>
      <c r="P80" s="18">
        <v>-75616</v>
      </c>
      <c r="Q80" s="97">
        <v>2</v>
      </c>
      <c r="R80" s="97">
        <f t="shared" si="10"/>
        <v>677</v>
      </c>
      <c r="S80" s="97">
        <f t="shared" si="11"/>
        <v>-51192032</v>
      </c>
      <c r="T80" s="97" t="s">
        <v>5280</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5293</v>
      </c>
      <c r="P82" s="18">
        <v>-2000000</v>
      </c>
      <c r="Q82" s="97">
        <v>6</v>
      </c>
      <c r="R82" s="97">
        <f t="shared" si="10"/>
        <v>673</v>
      </c>
      <c r="S82" s="97">
        <f t="shared" si="11"/>
        <v>-1346000000</v>
      </c>
      <c r="T82" s="97"/>
    </row>
    <row r="83" spans="1:23">
      <c r="B83" s="94"/>
      <c r="E83" s="94"/>
      <c r="F83" s="94"/>
      <c r="O83" s="97" t="s">
        <v>5325</v>
      </c>
      <c r="P83" s="18">
        <v>2500000</v>
      </c>
      <c r="Q83" s="97">
        <v>1</v>
      </c>
      <c r="R83" s="97">
        <f t="shared" si="10"/>
        <v>667</v>
      </c>
      <c r="S83" s="97">
        <f t="shared" si="11"/>
        <v>1667500000</v>
      </c>
      <c r="T83" s="97"/>
    </row>
    <row r="84" spans="1:23">
      <c r="A84" s="94" t="s">
        <v>5780</v>
      </c>
      <c r="B84" s="94"/>
      <c r="E84" s="94"/>
      <c r="F84" s="94"/>
      <c r="M84" t="s">
        <v>25</v>
      </c>
      <c r="O84" s="97" t="s">
        <v>5328</v>
      </c>
      <c r="P84" s="18">
        <v>3000000</v>
      </c>
      <c r="Q84" s="97">
        <v>3</v>
      </c>
      <c r="R84" s="97">
        <f t="shared" si="10"/>
        <v>666</v>
      </c>
      <c r="S84" s="97">
        <f t="shared" si="11"/>
        <v>1998000000</v>
      </c>
      <c r="T84" s="97"/>
    </row>
    <row r="85" spans="1:23">
      <c r="A85" s="94" t="s">
        <v>5262</v>
      </c>
      <c r="B85" s="94"/>
      <c r="E85" s="94"/>
      <c r="F85" s="94"/>
      <c r="O85" s="97" t="s">
        <v>5334</v>
      </c>
      <c r="P85" s="18">
        <v>-300000</v>
      </c>
      <c r="Q85" s="97">
        <v>5</v>
      </c>
      <c r="R85" s="97">
        <f t="shared" si="10"/>
        <v>663</v>
      </c>
      <c r="S85" s="97">
        <f t="shared" si="11"/>
        <v>-198900000</v>
      </c>
      <c r="T85" s="97"/>
    </row>
    <row r="86" spans="1:23">
      <c r="A86" s="94" t="s">
        <v>5271</v>
      </c>
      <c r="B86" s="94"/>
      <c r="E86" s="94"/>
      <c r="F86" s="94"/>
      <c r="O86" s="97" t="s">
        <v>5345</v>
      </c>
      <c r="P86" s="18">
        <v>500000</v>
      </c>
      <c r="Q86" s="97">
        <v>1</v>
      </c>
      <c r="R86" s="97">
        <f t="shared" si="10"/>
        <v>658</v>
      </c>
      <c r="S86" s="97">
        <f t="shared" si="11"/>
        <v>329000000</v>
      </c>
      <c r="T86" s="97"/>
    </row>
    <row r="87" spans="1:23">
      <c r="A87" s="94" t="s">
        <v>5791</v>
      </c>
      <c r="B87" s="94"/>
      <c r="E87" s="94"/>
      <c r="F87" s="94"/>
      <c r="O87" s="97" t="s">
        <v>5347</v>
      </c>
      <c r="P87" s="18">
        <v>1000000</v>
      </c>
      <c r="Q87" s="97">
        <v>5</v>
      </c>
      <c r="R87" s="97">
        <f t="shared" si="10"/>
        <v>657</v>
      </c>
      <c r="S87" s="97">
        <f t="shared" si="11"/>
        <v>657000000</v>
      </c>
      <c r="T87" s="97"/>
    </row>
    <row r="88" spans="1:23">
      <c r="A88" s="94" t="s">
        <v>5276</v>
      </c>
      <c r="B88" s="94"/>
      <c r="E88" s="94"/>
      <c r="F88" s="94"/>
      <c r="O88" s="97" t="s">
        <v>5352</v>
      </c>
      <c r="P88" s="18">
        <v>-2700000</v>
      </c>
      <c r="Q88" s="97">
        <v>1</v>
      </c>
      <c r="R88" s="97">
        <f t="shared" si="10"/>
        <v>652</v>
      </c>
      <c r="S88" s="97">
        <f t="shared" si="11"/>
        <v>-1760400000</v>
      </c>
      <c r="T88" s="97"/>
    </row>
    <row r="89" spans="1:23">
      <c r="A89" s="94" t="s">
        <v>5792</v>
      </c>
      <c r="B89" s="94"/>
      <c r="E89" s="94"/>
      <c r="F89" s="94"/>
      <c r="O89" s="97" t="s">
        <v>5353</v>
      </c>
      <c r="P89" s="18">
        <v>-3600000</v>
      </c>
      <c r="Q89" s="97">
        <v>1</v>
      </c>
      <c r="R89" s="97">
        <f t="shared" si="10"/>
        <v>651</v>
      </c>
      <c r="S89" s="97">
        <f t="shared" si="11"/>
        <v>-2343600000</v>
      </c>
      <c r="T89" s="97"/>
    </row>
    <row r="90" spans="1:23">
      <c r="A90" s="94" t="s">
        <v>5793</v>
      </c>
      <c r="B90" s="94"/>
      <c r="E90" s="94"/>
      <c r="F90" s="94"/>
      <c r="O90" s="97" t="s">
        <v>985</v>
      </c>
      <c r="P90" s="18">
        <v>-400000</v>
      </c>
      <c r="Q90" s="97">
        <v>17</v>
      </c>
      <c r="R90" s="97">
        <f t="shared" si="10"/>
        <v>650</v>
      </c>
      <c r="S90" s="97">
        <f t="shared" si="11"/>
        <v>-260000000</v>
      </c>
      <c r="T90" s="97"/>
    </row>
    <row r="91" spans="1:23">
      <c r="A91" s="94" t="s">
        <v>5794</v>
      </c>
      <c r="B91" s="94"/>
      <c r="E91" s="94"/>
      <c r="F91" s="94"/>
      <c r="M91" t="s">
        <v>25</v>
      </c>
      <c r="O91" s="97" t="s">
        <v>5373</v>
      </c>
      <c r="P91" s="18">
        <v>1000000</v>
      </c>
      <c r="Q91" s="97">
        <v>20</v>
      </c>
      <c r="R91" s="97">
        <f t="shared" si="10"/>
        <v>633</v>
      </c>
      <c r="S91" s="97">
        <f t="shared" si="11"/>
        <v>633000000</v>
      </c>
      <c r="T91" s="97"/>
    </row>
    <row r="92" spans="1:23">
      <c r="A92" s="94" t="s">
        <v>4478</v>
      </c>
      <c r="B92" s="94"/>
      <c r="E92" s="94"/>
      <c r="F92" s="94"/>
      <c r="O92" s="97" t="s">
        <v>5392</v>
      </c>
      <c r="P92" s="18">
        <v>-1000000</v>
      </c>
      <c r="Q92" s="97">
        <v>25</v>
      </c>
      <c r="R92" s="97">
        <f t="shared" si="10"/>
        <v>613</v>
      </c>
      <c r="S92" s="97">
        <f t="shared" si="11"/>
        <v>-613000000</v>
      </c>
      <c r="T92" s="97"/>
    </row>
    <row r="93" spans="1:23">
      <c r="A93" s="94" t="s">
        <v>4554</v>
      </c>
      <c r="B93" s="94" t="s">
        <v>25</v>
      </c>
      <c r="E93" s="94"/>
      <c r="F93" s="94"/>
      <c r="O93" s="97" t="s">
        <v>5421</v>
      </c>
      <c r="P93" s="18">
        <v>300000</v>
      </c>
      <c r="Q93" s="97">
        <v>3</v>
      </c>
      <c r="R93" s="97">
        <f t="shared" si="10"/>
        <v>588</v>
      </c>
      <c r="S93" s="97">
        <f t="shared" si="11"/>
        <v>176400000</v>
      </c>
      <c r="T93" s="97"/>
    </row>
    <row r="94" spans="1:23">
      <c r="A94" s="94" t="s">
        <v>4709</v>
      </c>
      <c r="B94" s="94"/>
      <c r="E94" s="94"/>
      <c r="F94" s="94"/>
      <c r="O94" s="97" t="s">
        <v>5426</v>
      </c>
      <c r="P94" s="18">
        <v>-300000</v>
      </c>
      <c r="Q94" s="97">
        <v>9</v>
      </c>
      <c r="R94" s="97">
        <f t="shared" si="10"/>
        <v>585</v>
      </c>
      <c r="S94" s="97">
        <f t="shared" si="11"/>
        <v>-175500000</v>
      </c>
      <c r="T94" s="97"/>
    </row>
    <row r="95" spans="1:23">
      <c r="A95" s="94" t="s">
        <v>4653</v>
      </c>
      <c r="B95" s="94"/>
      <c r="E95" s="94"/>
      <c r="F95" s="94"/>
      <c r="O95" s="97" t="s">
        <v>5441</v>
      </c>
      <c r="P95" s="18">
        <v>1000000</v>
      </c>
      <c r="Q95" s="97">
        <v>24</v>
      </c>
      <c r="R95" s="97">
        <f t="shared" si="10"/>
        <v>576</v>
      </c>
      <c r="S95" s="97">
        <f t="shared" si="11"/>
        <v>576000000</v>
      </c>
      <c r="T95" s="97"/>
      <c r="W95" t="s">
        <v>25</v>
      </c>
    </row>
    <row r="96" spans="1:23">
      <c r="A96" s="94"/>
      <c r="B96" s="94"/>
      <c r="E96" s="94"/>
      <c r="F96" s="94"/>
      <c r="L96" s="112"/>
      <c r="O96" s="97" t="s">
        <v>5478</v>
      </c>
      <c r="P96" s="18">
        <v>-1380100</v>
      </c>
      <c r="Q96" s="97">
        <v>11</v>
      </c>
      <c r="R96" s="97">
        <f t="shared" si="10"/>
        <v>552</v>
      </c>
      <c r="S96" s="97">
        <f t="shared" si="11"/>
        <v>-761815200</v>
      </c>
      <c r="T96" s="97"/>
    </row>
    <row r="97" spans="1:28">
      <c r="A97" s="94"/>
      <c r="B97" s="94"/>
      <c r="E97" s="94"/>
      <c r="F97" s="94"/>
      <c r="O97" s="97" t="s">
        <v>5492</v>
      </c>
      <c r="P97" s="18">
        <v>1280015</v>
      </c>
      <c r="Q97" s="97">
        <v>0</v>
      </c>
      <c r="R97" s="97">
        <f t="shared" ref="R97:R144" si="16">Q97+R98</f>
        <v>541</v>
      </c>
      <c r="S97" s="97">
        <f t="shared" ref="S97:S144" si="17">P97*R97</f>
        <v>692488115</v>
      </c>
      <c r="T97" s="97"/>
    </row>
    <row r="98" spans="1:28">
      <c r="B98" s="94"/>
      <c r="E98" s="94"/>
      <c r="F98" s="94"/>
      <c r="M98" t="s">
        <v>25</v>
      </c>
      <c r="O98" s="97" t="s">
        <v>5492</v>
      </c>
      <c r="P98" s="18">
        <v>300000</v>
      </c>
      <c r="Q98" s="97">
        <v>7</v>
      </c>
      <c r="R98" s="97">
        <f t="shared" si="16"/>
        <v>541</v>
      </c>
      <c r="S98" s="97">
        <f t="shared" si="17"/>
        <v>162300000</v>
      </c>
      <c r="T98" s="97"/>
    </row>
    <row r="99" spans="1:28">
      <c r="A99" s="94" t="s">
        <v>5785</v>
      </c>
      <c r="E99" s="94"/>
      <c r="F99" s="94"/>
      <c r="O99" s="97" t="s">
        <v>5499</v>
      </c>
      <c r="P99" s="18">
        <v>3000000</v>
      </c>
      <c r="Q99" s="97">
        <v>3</v>
      </c>
      <c r="R99" s="97">
        <f t="shared" si="16"/>
        <v>534</v>
      </c>
      <c r="S99" s="97">
        <f t="shared" si="17"/>
        <v>1602000000</v>
      </c>
      <c r="T99" s="97"/>
      <c r="AB99" t="s">
        <v>25</v>
      </c>
    </row>
    <row r="100" spans="1:28">
      <c r="A100" s="94" t="s">
        <v>5783</v>
      </c>
      <c r="E100" s="94"/>
      <c r="F100" s="94"/>
      <c r="O100" s="97" t="s">
        <v>5517</v>
      </c>
      <c r="P100" s="18">
        <v>300000</v>
      </c>
      <c r="Q100" s="97">
        <v>8</v>
      </c>
      <c r="R100" s="97">
        <f t="shared" si="16"/>
        <v>531</v>
      </c>
      <c r="S100" s="97">
        <f t="shared" si="17"/>
        <v>159300000</v>
      </c>
      <c r="T100" s="97"/>
    </row>
    <row r="101" spans="1:28">
      <c r="A101" s="94" t="s">
        <v>5784</v>
      </c>
      <c r="E101" s="94"/>
      <c r="F101" s="94"/>
      <c r="O101" s="97" t="s">
        <v>5538</v>
      </c>
      <c r="P101" s="18">
        <v>-3500000</v>
      </c>
      <c r="Q101" s="97">
        <v>6</v>
      </c>
      <c r="R101" s="97">
        <f t="shared" si="16"/>
        <v>523</v>
      </c>
      <c r="S101" s="97">
        <f t="shared" si="17"/>
        <v>-1830500000</v>
      </c>
      <c r="T101" s="97"/>
    </row>
    <row r="102" spans="1:28">
      <c r="A102" s="94" t="s">
        <v>5795</v>
      </c>
      <c r="E102" s="94"/>
      <c r="F102" s="94"/>
      <c r="O102" s="97" t="s">
        <v>5543</v>
      </c>
      <c r="P102" s="18">
        <v>-70000</v>
      </c>
      <c r="Q102" s="97">
        <v>1</v>
      </c>
      <c r="R102" s="97">
        <f t="shared" si="16"/>
        <v>517</v>
      </c>
      <c r="S102" s="97">
        <f t="shared" si="17"/>
        <v>-36190000</v>
      </c>
      <c r="T102" s="97"/>
    </row>
    <row r="103" spans="1:28">
      <c r="A103" s="94" t="s">
        <v>5796</v>
      </c>
      <c r="E103" s="94"/>
      <c r="F103" s="94"/>
      <c r="O103" s="97" t="s">
        <v>5547</v>
      </c>
      <c r="P103" s="18">
        <v>70085</v>
      </c>
      <c r="Q103" s="97">
        <v>7</v>
      </c>
      <c r="R103" s="97">
        <f t="shared" si="16"/>
        <v>516</v>
      </c>
      <c r="S103" s="97">
        <f t="shared" si="17"/>
        <v>36163860</v>
      </c>
      <c r="T103" s="97" t="s">
        <v>5548</v>
      </c>
    </row>
    <row r="104" spans="1:28">
      <c r="A104" s="94" t="s">
        <v>5797</v>
      </c>
      <c r="O104" s="97" t="s">
        <v>5554</v>
      </c>
      <c r="P104" s="18">
        <v>-1000000</v>
      </c>
      <c r="Q104" s="97">
        <v>31</v>
      </c>
      <c r="R104" s="97">
        <f t="shared" si="16"/>
        <v>509</v>
      </c>
      <c r="S104" s="97">
        <f t="shared" si="17"/>
        <v>-509000000</v>
      </c>
      <c r="T104" s="97"/>
    </row>
    <row r="105" spans="1:28">
      <c r="A105" s="94"/>
      <c r="O105" s="97" t="s">
        <v>5582</v>
      </c>
      <c r="P105" s="18">
        <v>6000000</v>
      </c>
      <c r="Q105" s="97">
        <v>1</v>
      </c>
      <c r="R105" s="97">
        <f t="shared" si="16"/>
        <v>478</v>
      </c>
      <c r="S105" s="97">
        <f t="shared" si="17"/>
        <v>2868000000</v>
      </c>
      <c r="T105" s="97"/>
      <c r="U105" t="s">
        <v>25</v>
      </c>
    </row>
    <row r="106" spans="1:28">
      <c r="A106" s="94" t="s">
        <v>5788</v>
      </c>
      <c r="O106" s="97" t="s">
        <v>5583</v>
      </c>
      <c r="P106" s="18">
        <v>6000000</v>
      </c>
      <c r="Q106" s="97">
        <v>11</v>
      </c>
      <c r="R106" s="97">
        <f t="shared" si="16"/>
        <v>477</v>
      </c>
      <c r="S106" s="97">
        <f t="shared" si="17"/>
        <v>2862000000</v>
      </c>
      <c r="T106" s="97"/>
    </row>
    <row r="107" spans="1:28">
      <c r="A107" t="s">
        <v>5789</v>
      </c>
      <c r="O107" s="97" t="s">
        <v>5598</v>
      </c>
      <c r="P107" s="18">
        <v>48000000</v>
      </c>
      <c r="Q107" s="97">
        <v>8</v>
      </c>
      <c r="R107" s="97">
        <f t="shared" si="16"/>
        <v>466</v>
      </c>
      <c r="S107" s="97">
        <f t="shared" si="17"/>
        <v>22368000000</v>
      </c>
      <c r="T107" s="97"/>
    </row>
    <row r="108" spans="1:28">
      <c r="A108" s="94" t="s">
        <v>5790</v>
      </c>
      <c r="O108" s="97" t="s">
        <v>5615</v>
      </c>
      <c r="P108" s="18">
        <v>-400000</v>
      </c>
      <c r="Q108" s="97">
        <v>23</v>
      </c>
      <c r="R108" s="97">
        <f t="shared" si="16"/>
        <v>458</v>
      </c>
      <c r="S108" s="97">
        <f t="shared" si="17"/>
        <v>-183200000</v>
      </c>
      <c r="T108" s="97"/>
    </row>
    <row r="109" spans="1:28">
      <c r="A109" s="94"/>
      <c r="O109" s="97" t="s">
        <v>5651</v>
      </c>
      <c r="P109" s="18">
        <v>500000</v>
      </c>
      <c r="Q109" s="97">
        <v>4</v>
      </c>
      <c r="R109" s="97">
        <f t="shared" si="16"/>
        <v>435</v>
      </c>
      <c r="S109" s="97">
        <f t="shared" si="17"/>
        <v>217500000</v>
      </c>
      <c r="T109" s="97"/>
    </row>
    <row r="110" spans="1:28">
      <c r="O110" s="97" t="s">
        <v>5655</v>
      </c>
      <c r="P110" s="18">
        <v>-500000</v>
      </c>
      <c r="Q110" s="97">
        <v>48</v>
      </c>
      <c r="R110" s="97">
        <f t="shared" si="16"/>
        <v>431</v>
      </c>
      <c r="S110" s="97">
        <f t="shared" si="17"/>
        <v>-215500000</v>
      </c>
      <c r="T110" s="97"/>
      <c r="V110" t="s">
        <v>25</v>
      </c>
    </row>
    <row r="111" spans="1:28">
      <c r="A111" s="94"/>
      <c r="O111" s="97" t="s">
        <v>5710</v>
      </c>
      <c r="P111" s="18">
        <v>2000000</v>
      </c>
      <c r="Q111" s="97">
        <v>11</v>
      </c>
      <c r="R111" s="97">
        <f t="shared" si="16"/>
        <v>383</v>
      </c>
      <c r="S111" s="97">
        <f t="shared" si="17"/>
        <v>766000000</v>
      </c>
      <c r="T111" s="97"/>
    </row>
    <row r="112" spans="1:28">
      <c r="A112" s="94"/>
      <c r="O112" s="97" t="s">
        <v>5720</v>
      </c>
      <c r="P112" s="18">
        <v>-2000000</v>
      </c>
      <c r="Q112" s="97">
        <v>1</v>
      </c>
      <c r="R112" s="97">
        <f t="shared" si="16"/>
        <v>372</v>
      </c>
      <c r="S112" s="97">
        <f t="shared" si="17"/>
        <v>-744000000</v>
      </c>
      <c r="T112" s="97"/>
      <c r="V112" t="s">
        <v>25</v>
      </c>
    </row>
    <row r="113" spans="1:25">
      <c r="O113" s="97" t="s">
        <v>5721</v>
      </c>
      <c r="P113" s="18">
        <v>-42203</v>
      </c>
      <c r="Q113" s="97">
        <v>2</v>
      </c>
      <c r="R113" s="97">
        <f t="shared" si="16"/>
        <v>371</v>
      </c>
      <c r="S113" s="97">
        <f t="shared" si="17"/>
        <v>-15657313</v>
      </c>
      <c r="T113" s="97" t="s">
        <v>5725</v>
      </c>
    </row>
    <row r="114" spans="1:25">
      <c r="A114" s="94"/>
      <c r="O114" s="97" t="s">
        <v>5727</v>
      </c>
      <c r="P114" s="18">
        <v>-365000</v>
      </c>
      <c r="Q114" s="97">
        <v>5</v>
      </c>
      <c r="R114" s="97">
        <f t="shared" si="16"/>
        <v>369</v>
      </c>
      <c r="S114" s="97">
        <f t="shared" si="17"/>
        <v>-134685000</v>
      </c>
      <c r="T114" s="97" t="s">
        <v>5728</v>
      </c>
    </row>
    <row r="115" spans="1:25">
      <c r="A115" s="94"/>
      <c r="O115" s="97" t="s">
        <v>5733</v>
      </c>
      <c r="P115" s="18">
        <v>12000000</v>
      </c>
      <c r="Q115" s="97">
        <v>9</v>
      </c>
      <c r="R115" s="97">
        <f t="shared" si="16"/>
        <v>364</v>
      </c>
      <c r="S115" s="97">
        <f t="shared" si="17"/>
        <v>4368000000</v>
      </c>
      <c r="T115" s="97" t="s">
        <v>5734</v>
      </c>
      <c r="Y115" t="s">
        <v>25</v>
      </c>
    </row>
    <row r="116" spans="1:25">
      <c r="M116" t="s">
        <v>25</v>
      </c>
      <c r="O116" s="97" t="s">
        <v>5743</v>
      </c>
      <c r="P116" s="18">
        <v>-4000000</v>
      </c>
      <c r="Q116" s="97">
        <v>1</v>
      </c>
      <c r="R116" s="97">
        <f t="shared" si="16"/>
        <v>355</v>
      </c>
      <c r="S116" s="97">
        <f t="shared" si="17"/>
        <v>-1420000000</v>
      </c>
      <c r="T116" s="97"/>
    </row>
    <row r="117" spans="1:25">
      <c r="O117" s="97" t="s">
        <v>5747</v>
      </c>
      <c r="P117" s="18">
        <v>-5000000</v>
      </c>
      <c r="Q117" s="97">
        <v>2</v>
      </c>
      <c r="R117" s="97">
        <f>Q117+R118</f>
        <v>354</v>
      </c>
      <c r="S117" s="97">
        <f t="shared" si="17"/>
        <v>-1770000000</v>
      </c>
      <c r="T117" s="97"/>
    </row>
    <row r="118" spans="1:25">
      <c r="O118" s="97" t="s">
        <v>5745</v>
      </c>
      <c r="P118" s="18">
        <v>-2500000</v>
      </c>
      <c r="Q118" s="97">
        <v>1</v>
      </c>
      <c r="R118" s="97">
        <f t="shared" si="16"/>
        <v>352</v>
      </c>
      <c r="S118" s="97">
        <f t="shared" si="17"/>
        <v>-880000000</v>
      </c>
      <c r="T118" s="97"/>
    </row>
    <row r="119" spans="1:25">
      <c r="O119" s="97" t="s">
        <v>5746</v>
      </c>
      <c r="P119" s="18">
        <v>-500000</v>
      </c>
      <c r="Q119" s="97">
        <v>17</v>
      </c>
      <c r="R119" s="97">
        <f t="shared" si="16"/>
        <v>351</v>
      </c>
      <c r="S119" s="97">
        <f t="shared" si="17"/>
        <v>-175500000</v>
      </c>
      <c r="T119" s="97"/>
    </row>
    <row r="120" spans="1:25">
      <c r="O120" s="97" t="s">
        <v>5748</v>
      </c>
      <c r="P120" s="18">
        <v>-192797</v>
      </c>
      <c r="Q120" s="97">
        <v>15</v>
      </c>
      <c r="R120" s="97">
        <f t="shared" si="16"/>
        <v>334</v>
      </c>
      <c r="S120" s="97">
        <f t="shared" si="17"/>
        <v>-64394198</v>
      </c>
      <c r="T120" s="97"/>
    </row>
    <row r="121" spans="1:25">
      <c r="O121" s="97" t="s">
        <v>5753</v>
      </c>
      <c r="P121" s="18">
        <v>2000000</v>
      </c>
      <c r="Q121" s="97">
        <v>12</v>
      </c>
      <c r="R121" s="97">
        <f t="shared" si="16"/>
        <v>319</v>
      </c>
      <c r="S121" s="97">
        <f t="shared" si="17"/>
        <v>638000000</v>
      </c>
      <c r="T121" s="97"/>
    </row>
    <row r="122" spans="1:25">
      <c r="N122" t="s">
        <v>25</v>
      </c>
      <c r="O122" s="97" t="s">
        <v>5760</v>
      </c>
      <c r="P122" s="18">
        <v>-2000000</v>
      </c>
      <c r="Q122" s="97">
        <v>0</v>
      </c>
      <c r="R122" s="97">
        <f t="shared" si="16"/>
        <v>307</v>
      </c>
      <c r="S122" s="97">
        <f t="shared" si="17"/>
        <v>-614000000</v>
      </c>
      <c r="T122" s="97"/>
    </row>
    <row r="123" spans="1:25">
      <c r="O123" s="97" t="s">
        <v>5760</v>
      </c>
      <c r="P123" s="18">
        <v>-4000000</v>
      </c>
      <c r="Q123" s="97">
        <v>1</v>
      </c>
      <c r="R123" s="97">
        <f t="shared" si="16"/>
        <v>307</v>
      </c>
      <c r="S123" s="97">
        <f t="shared" si="17"/>
        <v>-1228000000</v>
      </c>
      <c r="T123" s="97"/>
    </row>
    <row r="124" spans="1:25">
      <c r="O124" s="97" t="s">
        <v>5761</v>
      </c>
      <c r="P124" s="18">
        <v>-3000000</v>
      </c>
      <c r="Q124" s="97">
        <v>3</v>
      </c>
      <c r="R124" s="97">
        <f t="shared" si="16"/>
        <v>306</v>
      </c>
      <c r="S124" s="97">
        <f t="shared" si="17"/>
        <v>-918000000</v>
      </c>
      <c r="T124" s="97"/>
    </row>
    <row r="125" spans="1:25">
      <c r="O125" s="97" t="s">
        <v>5768</v>
      </c>
      <c r="P125" s="18">
        <v>-6000000</v>
      </c>
      <c r="Q125" s="97">
        <v>1</v>
      </c>
      <c r="R125" s="97">
        <f t="shared" si="16"/>
        <v>303</v>
      </c>
      <c r="S125" s="97">
        <f t="shared" si="17"/>
        <v>-1818000000</v>
      </c>
      <c r="T125" s="97"/>
    </row>
    <row r="126" spans="1:25">
      <c r="O126" s="97" t="s">
        <v>5771</v>
      </c>
      <c r="P126" s="18">
        <v>-10000000</v>
      </c>
      <c r="Q126" s="97">
        <v>0</v>
      </c>
      <c r="R126" s="97">
        <f t="shared" si="16"/>
        <v>302</v>
      </c>
      <c r="S126" s="97">
        <f t="shared" si="17"/>
        <v>-3020000000</v>
      </c>
      <c r="T126" s="97"/>
    </row>
    <row r="127" spans="1:25">
      <c r="O127" s="97" t="s">
        <v>5771</v>
      </c>
      <c r="P127" s="18">
        <v>-5500000</v>
      </c>
      <c r="Q127" s="97">
        <v>1</v>
      </c>
      <c r="R127" s="97">
        <f t="shared" si="16"/>
        <v>302</v>
      </c>
      <c r="S127" s="97">
        <f t="shared" si="17"/>
        <v>-1661000000</v>
      </c>
      <c r="T127" s="97"/>
    </row>
    <row r="128" spans="1:25">
      <c r="O128" s="97" t="s">
        <v>5772</v>
      </c>
      <c r="P128" s="18">
        <v>-1500000</v>
      </c>
      <c r="Q128" s="97">
        <v>9</v>
      </c>
      <c r="R128" s="97">
        <f t="shared" si="16"/>
        <v>301</v>
      </c>
      <c r="S128" s="97">
        <f t="shared" si="17"/>
        <v>-451500000</v>
      </c>
      <c r="T128" s="97"/>
    </row>
    <row r="129" spans="1:23">
      <c r="O129" s="97" t="s">
        <v>5799</v>
      </c>
      <c r="P129" s="18">
        <v>-22545000</v>
      </c>
      <c r="Q129" s="97">
        <v>18</v>
      </c>
      <c r="R129" s="97">
        <f t="shared" si="16"/>
        <v>292</v>
      </c>
      <c r="S129" s="97">
        <f t="shared" si="17"/>
        <v>-6583140000</v>
      </c>
      <c r="T129" s="97" t="s">
        <v>5803</v>
      </c>
    </row>
    <row r="130" spans="1:23">
      <c r="O130" s="97" t="s">
        <v>5810</v>
      </c>
      <c r="P130" s="18">
        <v>5000000</v>
      </c>
      <c r="Q130" s="97">
        <v>9</v>
      </c>
      <c r="R130" s="97">
        <f t="shared" si="16"/>
        <v>274</v>
      </c>
      <c r="S130" s="97">
        <f t="shared" si="17"/>
        <v>1370000000</v>
      </c>
      <c r="T130" s="97"/>
    </row>
    <row r="131" spans="1:23">
      <c r="O131" s="97" t="s">
        <v>5814</v>
      </c>
      <c r="P131" s="18">
        <v>3000000</v>
      </c>
      <c r="Q131" s="97">
        <v>0</v>
      </c>
      <c r="R131" s="97">
        <f t="shared" si="16"/>
        <v>265</v>
      </c>
      <c r="S131" s="97">
        <f t="shared" si="17"/>
        <v>795000000</v>
      </c>
      <c r="T131" s="97"/>
      <c r="W131" t="s">
        <v>25</v>
      </c>
    </row>
    <row r="132" spans="1:23">
      <c r="O132" s="97" t="s">
        <v>5814</v>
      </c>
      <c r="P132" s="18">
        <v>-3000000</v>
      </c>
      <c r="Q132" s="97">
        <v>1</v>
      </c>
      <c r="R132" s="97">
        <f t="shared" si="16"/>
        <v>265</v>
      </c>
      <c r="S132" s="97">
        <f t="shared" si="17"/>
        <v>-795000000</v>
      </c>
      <c r="T132" s="97"/>
    </row>
    <row r="133" spans="1:23">
      <c r="O133" s="97" t="s">
        <v>5815</v>
      </c>
      <c r="P133" s="18">
        <v>-11455000</v>
      </c>
      <c r="Q133" s="97">
        <v>14</v>
      </c>
      <c r="R133" s="97">
        <f t="shared" si="16"/>
        <v>264</v>
      </c>
      <c r="S133" s="97">
        <f t="shared" si="17"/>
        <v>-3024120000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250</v>
      </c>
      <c r="S134" s="97">
        <f t="shared" si="17"/>
        <v>579275000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247</v>
      </c>
      <c r="S135" s="97">
        <f t="shared" si="17"/>
        <v>172653000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244</v>
      </c>
      <c r="S136" s="97">
        <f t="shared" si="17"/>
        <v>-247928400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239</v>
      </c>
      <c r="S137" s="97">
        <f t="shared" si="17"/>
        <v>-162520000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236</v>
      </c>
      <c r="S138" s="97">
        <f t="shared" si="17"/>
        <v>-50976000</v>
      </c>
      <c r="T138" s="97"/>
    </row>
    <row r="139" spans="1:23">
      <c r="A139" s="9"/>
      <c r="B139" s="18"/>
      <c r="O139" s="97" t="s">
        <v>6401</v>
      </c>
      <c r="P139" s="18">
        <v>-619000</v>
      </c>
      <c r="Q139" s="97">
        <v>3</v>
      </c>
      <c r="R139" s="97">
        <f t="shared" si="16"/>
        <v>233</v>
      </c>
      <c r="S139" s="97">
        <f t="shared" si="17"/>
        <v>-144227000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230</v>
      </c>
      <c r="S140" s="97">
        <f t="shared" si="17"/>
        <v>-111550000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219</v>
      </c>
      <c r="S141" s="97">
        <f t="shared" si="17"/>
        <v>657000000</v>
      </c>
      <c r="T141" s="97"/>
    </row>
    <row r="142" spans="1:23">
      <c r="A142" s="94"/>
      <c r="B142" s="94"/>
      <c r="E142" s="94"/>
      <c r="F142" s="94"/>
      <c r="G142" s="94"/>
      <c r="H142" s="94"/>
      <c r="I142" s="94"/>
      <c r="J142" s="94"/>
      <c r="O142" s="97" t="s">
        <v>6419</v>
      </c>
      <c r="P142" s="18">
        <v>255000</v>
      </c>
      <c r="Q142" s="97">
        <v>1</v>
      </c>
      <c r="R142" s="97">
        <f t="shared" si="16"/>
        <v>218</v>
      </c>
      <c r="S142" s="97">
        <f t="shared" si="17"/>
        <v>55590000</v>
      </c>
      <c r="T142" s="97" t="s">
        <v>6420</v>
      </c>
    </row>
    <row r="143" spans="1:23">
      <c r="A143" s="94"/>
      <c r="B143" s="94"/>
      <c r="E143" s="94"/>
      <c r="F143" s="94"/>
      <c r="G143" s="94"/>
      <c r="H143" s="94"/>
      <c r="I143" s="94" t="s">
        <v>25</v>
      </c>
      <c r="J143" s="94"/>
      <c r="O143" s="97" t="s">
        <v>6421</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6435</v>
      </c>
      <c r="P144" s="18">
        <v>60000000</v>
      </c>
      <c r="Q144" s="97">
        <v>19</v>
      </c>
      <c r="R144" s="97">
        <f t="shared" si="16"/>
        <v>208</v>
      </c>
      <c r="S144" s="97">
        <f t="shared" si="17"/>
        <v>12480000000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189</v>
      </c>
      <c r="S145" s="97">
        <f t="shared" ref="S145:S147" si="19">P145*R145</f>
        <v>89515692</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187</v>
      </c>
      <c r="S146" s="97">
        <f t="shared" si="19"/>
        <v>-88568436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186</v>
      </c>
      <c r="S147" s="97">
        <f t="shared" si="19"/>
        <v>-1116000000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183</v>
      </c>
      <c r="S148" s="97">
        <f t="shared" ref="S148:S155" si="24">P148*R148</f>
        <v>-86925000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182</v>
      </c>
      <c r="S149" s="97">
        <f t="shared" si="24"/>
        <v>-152334000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181</v>
      </c>
      <c r="S150" s="97">
        <f t="shared" si="24"/>
        <v>-89233000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180</v>
      </c>
      <c r="S151" s="97">
        <f t="shared" si="24"/>
        <v>9720000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177</v>
      </c>
      <c r="S152" s="97">
        <f t="shared" si="24"/>
        <v>-70800000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175</v>
      </c>
      <c r="S153" s="97">
        <f t="shared" si="24"/>
        <v>-164150000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166</v>
      </c>
      <c r="S154" s="97">
        <f t="shared" si="24"/>
        <v>-1313226000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154</v>
      </c>
      <c r="S155" s="97">
        <f t="shared" si="24"/>
        <v>154000000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153</v>
      </c>
      <c r="S156" s="97">
        <f t="shared" ref="S156:S158" si="29">P156*R156</f>
        <v>-153000000</v>
      </c>
      <c r="T156" s="97" t="s">
        <v>6571</v>
      </c>
    </row>
    <row r="157" spans="1:25">
      <c r="A157" s="94"/>
      <c r="B157" s="94"/>
      <c r="E157" s="94"/>
      <c r="F157" s="94"/>
      <c r="G157" s="94"/>
      <c r="O157" s="97" t="s">
        <v>6603</v>
      </c>
      <c r="P157" s="18">
        <v>400000</v>
      </c>
      <c r="Q157" s="97">
        <v>0</v>
      </c>
      <c r="R157" s="97">
        <f t="shared" si="28"/>
        <v>134</v>
      </c>
      <c r="S157" s="97">
        <f t="shared" si="29"/>
        <v>53600000</v>
      </c>
      <c r="T157" s="97"/>
    </row>
    <row r="158" spans="1:25">
      <c r="A158" s="94"/>
      <c r="B158" s="94"/>
      <c r="E158" s="94"/>
      <c r="F158" s="94"/>
      <c r="G158" s="94"/>
      <c r="O158" s="97" t="s">
        <v>6603</v>
      </c>
      <c r="P158" s="18">
        <v>-400000</v>
      </c>
      <c r="Q158" s="97">
        <v>11</v>
      </c>
      <c r="R158" s="97">
        <f t="shared" si="28"/>
        <v>134</v>
      </c>
      <c r="S158" s="97">
        <f t="shared" si="29"/>
        <v>-53600000</v>
      </c>
      <c r="T158" s="97"/>
      <c r="Y158" t="s">
        <v>25</v>
      </c>
    </row>
    <row r="159" spans="1:25">
      <c r="A159" s="94"/>
      <c r="B159" s="94"/>
      <c r="E159" s="94"/>
      <c r="F159" s="94"/>
      <c r="G159" s="94"/>
      <c r="O159" s="97" t="s">
        <v>6618</v>
      </c>
      <c r="P159" s="18">
        <v>600000</v>
      </c>
      <c r="Q159" s="97">
        <v>5</v>
      </c>
      <c r="R159" s="97">
        <f t="shared" ref="R159:R163" si="30">Q159+R160</f>
        <v>123</v>
      </c>
      <c r="S159" s="97">
        <f t="shared" ref="S159:S163" si="31">P159*R159</f>
        <v>73800000</v>
      </c>
      <c r="T159" s="97"/>
    </row>
    <row r="160" spans="1:25">
      <c r="A160" s="94"/>
      <c r="B160" s="94"/>
      <c r="E160" s="94"/>
      <c r="O160" s="97" t="s">
        <v>6625</v>
      </c>
      <c r="P160" s="18">
        <v>-600000</v>
      </c>
      <c r="Q160" s="97">
        <v>30</v>
      </c>
      <c r="R160" s="97">
        <f t="shared" si="30"/>
        <v>118</v>
      </c>
      <c r="S160" s="97">
        <f t="shared" si="31"/>
        <v>-70800000</v>
      </c>
      <c r="T160" s="97"/>
    </row>
    <row r="161" spans="1:25">
      <c r="A161">
        <v>0</v>
      </c>
      <c r="B161" s="94">
        <v>1</v>
      </c>
      <c r="C161" s="94">
        <v>3476</v>
      </c>
      <c r="E161" s="94">
        <v>2.845E-2</v>
      </c>
      <c r="O161" s="97" t="s">
        <v>6944</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6947</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7111</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7" t="s">
        <v>6929</v>
      </c>
      <c r="D179" s="176" t="s">
        <v>6928</v>
      </c>
      <c r="E179" s="427"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8" t="s">
        <v>6467</v>
      </c>
      <c r="B180" s="419">
        <v>3502073352</v>
      </c>
      <c r="C180" s="419">
        <v>350</v>
      </c>
      <c r="D180" s="419">
        <f>B180*C180/$M$180</f>
        <v>40.857522439999997</v>
      </c>
      <c r="E180" s="426">
        <v>190</v>
      </c>
      <c r="F180" s="418">
        <f>0.75*B180*E180/$M$180</f>
        <v>16.634848422000001</v>
      </c>
      <c r="G180" s="418">
        <v>130</v>
      </c>
      <c r="H180" s="418">
        <f>0.75*B180*G180/$M$180</f>
        <v>11.381738393999999</v>
      </c>
      <c r="I180" s="418">
        <v>2255</v>
      </c>
      <c r="J180" s="418">
        <f t="shared" ref="J180:J192" si="36">B180*I180/$M$180</f>
        <v>263.23918029200001</v>
      </c>
      <c r="K180" s="418">
        <f>I180</f>
        <v>2255</v>
      </c>
      <c r="L180" s="418">
        <f t="shared" ref="L180:L193" si="37">B180*K180/$M$180</f>
        <v>263.23918029200001</v>
      </c>
      <c r="M180" s="419">
        <v>30000000000</v>
      </c>
      <c r="P180" t="s">
        <v>25</v>
      </c>
      <c r="R180" t="s">
        <v>25</v>
      </c>
    </row>
    <row r="181" spans="1:21" ht="23.25">
      <c r="A181" s="420" t="s">
        <v>4216</v>
      </c>
      <c r="B181" s="421">
        <v>3356161798</v>
      </c>
      <c r="C181" s="421">
        <v>340</v>
      </c>
      <c r="D181" s="421">
        <f t="shared" ref="D181:D192" si="38">B181*C181/$M$180</f>
        <v>38.036500377333333</v>
      </c>
      <c r="E181" s="424">
        <v>230</v>
      </c>
      <c r="F181" s="420">
        <f t="shared" ref="F181:F192" si="39">B181*E181/$M$180</f>
        <v>25.730573784666667</v>
      </c>
      <c r="G181" s="420">
        <v>200</v>
      </c>
      <c r="H181" s="420">
        <f t="shared" ref="H181:H192" si="40">B181*G181/$M$180</f>
        <v>22.374411986666665</v>
      </c>
      <c r="I181" s="420">
        <v>1497</v>
      </c>
      <c r="J181" s="420">
        <f t="shared" si="36"/>
        <v>167.47247372020001</v>
      </c>
      <c r="K181" s="432">
        <v>3700</v>
      </c>
      <c r="L181" s="425">
        <f t="shared" si="37"/>
        <v>413.92662175333334</v>
      </c>
      <c r="M181" s="94"/>
      <c r="R181" t="s">
        <v>25</v>
      </c>
      <c r="U181" s="94"/>
    </row>
    <row r="182" spans="1:21" ht="15.75">
      <c r="A182" s="418" t="s">
        <v>4509</v>
      </c>
      <c r="B182" s="419">
        <v>2003857980</v>
      </c>
      <c r="C182" s="419">
        <v>280</v>
      </c>
      <c r="D182" s="419">
        <f t="shared" si="38"/>
        <v>18.702674479999999</v>
      </c>
      <c r="E182" s="426">
        <v>130</v>
      </c>
      <c r="F182" s="418">
        <f t="shared" si="39"/>
        <v>8.6833845800000002</v>
      </c>
      <c r="G182" s="418">
        <v>28</v>
      </c>
      <c r="H182" s="418">
        <f t="shared" si="40"/>
        <v>1.8702674480000001</v>
      </c>
      <c r="I182" s="418">
        <v>1309</v>
      </c>
      <c r="J182" s="418">
        <f t="shared" si="36"/>
        <v>87.435003194000004</v>
      </c>
      <c r="K182" s="418">
        <f>I182</f>
        <v>1309</v>
      </c>
      <c r="L182" s="418">
        <f t="shared" si="37"/>
        <v>87.435003194000004</v>
      </c>
      <c r="M182" s="94"/>
      <c r="O182" t="s">
        <v>25</v>
      </c>
      <c r="U182" s="94"/>
    </row>
    <row r="183" spans="1:21" ht="15.75">
      <c r="A183" s="420" t="s">
        <v>5788</v>
      </c>
      <c r="B183" s="421">
        <v>499499998</v>
      </c>
      <c r="C183" s="421">
        <v>450</v>
      </c>
      <c r="D183" s="421">
        <f t="shared" si="38"/>
        <v>7.4924999699999999</v>
      </c>
      <c r="E183" s="424">
        <v>308</v>
      </c>
      <c r="F183" s="420">
        <f t="shared" si="39"/>
        <v>5.1281999794666664</v>
      </c>
      <c r="G183" s="420">
        <v>213</v>
      </c>
      <c r="H183" s="420">
        <f t="shared" si="40"/>
        <v>3.5464499857999998</v>
      </c>
      <c r="I183" s="420">
        <v>2819</v>
      </c>
      <c r="J183" s="420">
        <f t="shared" si="36"/>
        <v>46.936349812066666</v>
      </c>
      <c r="K183" s="418">
        <f t="shared" ref="K183:K192" si="41">I183</f>
        <v>2819</v>
      </c>
      <c r="L183" s="420">
        <f t="shared" si="37"/>
        <v>46.936349812066666</v>
      </c>
      <c r="M183" s="94"/>
      <c r="T183" t="s">
        <v>25</v>
      </c>
      <c r="U183" s="94"/>
    </row>
    <row r="184" spans="1:21" ht="15.75">
      <c r="A184" s="418" t="s">
        <v>6469</v>
      </c>
      <c r="B184" s="419">
        <v>4161561525</v>
      </c>
      <c r="C184" s="419">
        <v>80</v>
      </c>
      <c r="D184" s="419">
        <f t="shared" si="38"/>
        <v>11.0974974</v>
      </c>
      <c r="E184" s="426">
        <v>66</v>
      </c>
      <c r="F184" s="418">
        <f t="shared" si="39"/>
        <v>9.1554353549999998</v>
      </c>
      <c r="G184" s="418">
        <v>6.6</v>
      </c>
      <c r="H184" s="418">
        <f t="shared" si="40"/>
        <v>0.91554353550000001</v>
      </c>
      <c r="I184" s="418">
        <v>332</v>
      </c>
      <c r="J184" s="418">
        <f t="shared" si="36"/>
        <v>46.054614209999997</v>
      </c>
      <c r="K184" s="418">
        <f t="shared" si="41"/>
        <v>332</v>
      </c>
      <c r="L184" s="418">
        <f t="shared" si="37"/>
        <v>46.054614209999997</v>
      </c>
      <c r="M184" s="94"/>
      <c r="R184" t="s">
        <v>25</v>
      </c>
      <c r="U184" s="94"/>
    </row>
    <row r="185" spans="1:21" ht="15.75">
      <c r="A185" s="420" t="s">
        <v>6468</v>
      </c>
      <c r="B185" s="421">
        <v>5610540000</v>
      </c>
      <c r="C185" s="421">
        <v>60</v>
      </c>
      <c r="D185" s="421">
        <f t="shared" si="38"/>
        <v>11.221080000000001</v>
      </c>
      <c r="E185" s="424">
        <v>58</v>
      </c>
      <c r="F185" s="420">
        <f t="shared" si="39"/>
        <v>10.847044</v>
      </c>
      <c r="G185" s="420">
        <v>15</v>
      </c>
      <c r="H185" s="420">
        <f t="shared" si="40"/>
        <v>2.8052700000000002</v>
      </c>
      <c r="I185" s="420">
        <v>216</v>
      </c>
      <c r="J185" s="420">
        <f t="shared" si="36"/>
        <v>40.395887999999999</v>
      </c>
      <c r="K185" s="418">
        <f t="shared" si="41"/>
        <v>216</v>
      </c>
      <c r="L185" s="420">
        <f>B185*K185/$M$180</f>
        <v>40.395887999999999</v>
      </c>
      <c r="M185" s="94"/>
      <c r="U185" s="94"/>
    </row>
    <row r="186" spans="1:21" ht="15.75">
      <c r="A186" s="418" t="s">
        <v>4520</v>
      </c>
      <c r="B186" s="419">
        <v>978026662</v>
      </c>
      <c r="C186" s="419">
        <v>140</v>
      </c>
      <c r="D186" s="419">
        <f t="shared" si="38"/>
        <v>4.5641244226666666</v>
      </c>
      <c r="E186" s="426">
        <v>50</v>
      </c>
      <c r="F186" s="418">
        <f t="shared" si="39"/>
        <v>1.6300444366666667</v>
      </c>
      <c r="G186" s="418">
        <v>50</v>
      </c>
      <c r="H186" s="418">
        <f t="shared" si="40"/>
        <v>1.6300444366666667</v>
      </c>
      <c r="I186" s="418">
        <v>648</v>
      </c>
      <c r="J186" s="418">
        <f t="shared" si="36"/>
        <v>21.125375899200002</v>
      </c>
      <c r="K186" s="418">
        <f t="shared" si="41"/>
        <v>648</v>
      </c>
      <c r="L186" s="418">
        <f t="shared" si="37"/>
        <v>21.125375899200002</v>
      </c>
      <c r="M186" s="94"/>
    </row>
    <row r="187" spans="1:21" ht="15.75">
      <c r="A187" s="418" t="s">
        <v>6470</v>
      </c>
      <c r="B187" s="419">
        <v>337500000</v>
      </c>
      <c r="C187" s="419">
        <v>280</v>
      </c>
      <c r="D187" s="419">
        <f t="shared" si="38"/>
        <v>3.15</v>
      </c>
      <c r="E187" s="426">
        <v>219.8</v>
      </c>
      <c r="F187" s="418">
        <f t="shared" si="39"/>
        <v>2.47275</v>
      </c>
      <c r="G187" s="418">
        <v>237</v>
      </c>
      <c r="H187" s="418">
        <f t="shared" si="40"/>
        <v>2.6662499999999998</v>
      </c>
      <c r="I187" s="418">
        <v>1641</v>
      </c>
      <c r="J187" s="418">
        <f t="shared" si="36"/>
        <v>18.46125</v>
      </c>
      <c r="K187" s="418">
        <f t="shared" si="41"/>
        <v>1641</v>
      </c>
      <c r="L187" s="418">
        <f t="shared" si="37"/>
        <v>18.46125</v>
      </c>
      <c r="M187" s="94"/>
      <c r="Q187" s="94"/>
      <c r="R187" s="94"/>
    </row>
    <row r="188" spans="1:21" ht="15.75">
      <c r="A188" s="420" t="s">
        <v>5795</v>
      </c>
      <c r="B188" s="421">
        <v>35697979</v>
      </c>
      <c r="C188" s="421">
        <v>300</v>
      </c>
      <c r="D188" s="421">
        <f t="shared" si="38"/>
        <v>0.35697979000000002</v>
      </c>
      <c r="E188" s="424">
        <v>223</v>
      </c>
      <c r="F188" s="420">
        <f t="shared" si="39"/>
        <v>0.26535497723333334</v>
      </c>
      <c r="G188" s="420">
        <v>80</v>
      </c>
      <c r="H188" s="420">
        <f t="shared" si="40"/>
        <v>9.5194610666666665E-2</v>
      </c>
      <c r="I188" s="420">
        <v>1607</v>
      </c>
      <c r="J188" s="420">
        <f t="shared" si="36"/>
        <v>1.9122217417666667</v>
      </c>
      <c r="K188" s="418">
        <f t="shared" si="41"/>
        <v>1607</v>
      </c>
      <c r="L188" s="420">
        <f t="shared" si="37"/>
        <v>1.9122217417666667</v>
      </c>
      <c r="M188" s="94"/>
      <c r="Q188" s="94"/>
      <c r="R188" s="94"/>
    </row>
    <row r="189" spans="1:21" ht="15.75">
      <c r="A189" s="418" t="s">
        <v>5958</v>
      </c>
      <c r="B189" s="419">
        <v>158220192</v>
      </c>
      <c r="C189" s="419">
        <v>800</v>
      </c>
      <c r="D189" s="419">
        <f t="shared" si="38"/>
        <v>4.2192051199999998</v>
      </c>
      <c r="E189" s="426">
        <v>578</v>
      </c>
      <c r="F189" s="418">
        <f t="shared" si="39"/>
        <v>3.0483756992000002</v>
      </c>
      <c r="G189" s="418">
        <v>300</v>
      </c>
      <c r="H189" s="418">
        <f t="shared" si="40"/>
        <v>1.5822019199999999</v>
      </c>
      <c r="I189" s="418">
        <v>1453</v>
      </c>
      <c r="J189" s="418">
        <f t="shared" si="36"/>
        <v>7.6631312991999998</v>
      </c>
      <c r="K189" s="418">
        <f t="shared" si="41"/>
        <v>1453</v>
      </c>
      <c r="L189" s="418">
        <f t="shared" si="37"/>
        <v>7.6631312991999998</v>
      </c>
      <c r="M189" s="94"/>
      <c r="Q189" s="94"/>
      <c r="R189" s="94"/>
      <c r="S189" s="94"/>
      <c r="T189" s="94"/>
    </row>
    <row r="190" spans="1:21" ht="15.75">
      <c r="A190" s="420" t="s">
        <v>4371</v>
      </c>
      <c r="B190" s="421">
        <v>101805550</v>
      </c>
      <c r="C190" s="421">
        <v>800</v>
      </c>
      <c r="D190" s="421">
        <f t="shared" si="38"/>
        <v>2.7148146666666668</v>
      </c>
      <c r="E190" s="424">
        <v>424</v>
      </c>
      <c r="F190" s="420">
        <f t="shared" si="39"/>
        <v>1.4388517733333333</v>
      </c>
      <c r="G190" s="420">
        <v>370</v>
      </c>
      <c r="H190" s="420">
        <f t="shared" si="40"/>
        <v>1.2556017833333333</v>
      </c>
      <c r="I190" s="420">
        <v>4589</v>
      </c>
      <c r="J190" s="420">
        <f t="shared" si="36"/>
        <v>15.572855631666666</v>
      </c>
      <c r="K190" s="418">
        <f t="shared" si="41"/>
        <v>4589</v>
      </c>
      <c r="L190" s="420">
        <f t="shared" si="37"/>
        <v>15.572855631666666</v>
      </c>
      <c r="M190" s="94"/>
      <c r="S190" s="94"/>
      <c r="T190" s="94"/>
    </row>
    <row r="191" spans="1:21" ht="15.75">
      <c r="A191" s="418" t="s">
        <v>6926</v>
      </c>
      <c r="B191" s="419">
        <v>1</v>
      </c>
      <c r="C191" s="419">
        <v>1000000000000</v>
      </c>
      <c r="D191" s="419">
        <f t="shared" si="38"/>
        <v>33.333333333333336</v>
      </c>
      <c r="E191" s="419">
        <v>600000000000</v>
      </c>
      <c r="F191" s="418">
        <f t="shared" si="39"/>
        <v>20</v>
      </c>
      <c r="G191" s="419">
        <v>400000000000</v>
      </c>
      <c r="H191" s="418">
        <f t="shared" si="40"/>
        <v>13.333333333333334</v>
      </c>
      <c r="I191" s="418">
        <v>6000000000000</v>
      </c>
      <c r="J191" s="418">
        <f t="shared" si="36"/>
        <v>200</v>
      </c>
      <c r="K191" s="418">
        <f t="shared" si="41"/>
        <v>6000000000000</v>
      </c>
      <c r="L191" s="418">
        <f t="shared" si="37"/>
        <v>200</v>
      </c>
      <c r="M191" s="94"/>
      <c r="S191" s="94"/>
      <c r="T191" s="94"/>
    </row>
    <row r="192" spans="1:21" ht="15.75">
      <c r="A192" s="420" t="s">
        <v>6471</v>
      </c>
      <c r="B192" s="421">
        <v>1</v>
      </c>
      <c r="C192" s="421">
        <v>750000000000</v>
      </c>
      <c r="D192" s="421">
        <f t="shared" si="38"/>
        <v>25</v>
      </c>
      <c r="E192" s="421">
        <v>500000000000</v>
      </c>
      <c r="F192" s="420">
        <f t="shared" si="39"/>
        <v>16.666666666666668</v>
      </c>
      <c r="G192" s="421">
        <v>300000000000</v>
      </c>
      <c r="H192" s="420">
        <f t="shared" si="40"/>
        <v>10</v>
      </c>
      <c r="I192" s="420">
        <v>4000000000000</v>
      </c>
      <c r="J192" s="420">
        <f t="shared" si="36"/>
        <v>133.33333333333334</v>
      </c>
      <c r="K192" s="418">
        <f t="shared" si="41"/>
        <v>4000000000000</v>
      </c>
      <c r="L192" s="420">
        <f t="shared" si="37"/>
        <v>133.33333333333334</v>
      </c>
      <c r="M192" s="94"/>
      <c r="S192" s="94"/>
      <c r="T192" s="94"/>
    </row>
    <row r="193" spans="1:20" ht="15.75">
      <c r="A193" s="422"/>
      <c r="B193" s="415"/>
      <c r="C193" s="415"/>
      <c r="D193" s="415"/>
      <c r="E193" s="422"/>
      <c r="F193" s="422"/>
      <c r="G193" s="422"/>
      <c r="H193" s="422"/>
      <c r="I193" s="422"/>
      <c r="J193" s="422"/>
      <c r="K193" s="422"/>
      <c r="L193" s="418">
        <f t="shared" si="37"/>
        <v>0</v>
      </c>
      <c r="M193" s="94"/>
      <c r="S193" s="94"/>
      <c r="T193" s="94"/>
    </row>
    <row r="194" spans="1:20" ht="21">
      <c r="A194" s="422"/>
      <c r="B194" s="422"/>
      <c r="C194" s="422"/>
      <c r="D194" s="422">
        <f>SUM(D181:D193)</f>
        <v>159.88870956</v>
      </c>
      <c r="E194" s="422"/>
      <c r="F194" s="422">
        <f>SUM(F181:F193)</f>
        <v>105.06668125223334</v>
      </c>
      <c r="G194" s="422"/>
      <c r="H194" s="422">
        <f>SUM(H181:H193)</f>
        <v>62.074569039966669</v>
      </c>
      <c r="I194" s="423" t="s">
        <v>4433</v>
      </c>
      <c r="J194" s="423">
        <f>SUM(J180:J192)</f>
        <v>1049.6016771334332</v>
      </c>
      <c r="K194" s="423" t="s">
        <v>4433</v>
      </c>
      <c r="L194" s="428">
        <f>SUM(L180:L192)</f>
        <v>1296.0558251665664</v>
      </c>
      <c r="M194" s="94"/>
    </row>
    <row r="195" spans="1:20" ht="21">
      <c r="A195" s="422"/>
      <c r="B195" s="422"/>
      <c r="C195" s="422"/>
      <c r="D195" s="422" t="s">
        <v>6</v>
      </c>
      <c r="E195" s="422"/>
      <c r="F195" s="422" t="s">
        <v>6</v>
      </c>
      <c r="G195" s="422"/>
      <c r="H195" s="422" t="s">
        <v>6</v>
      </c>
      <c r="I195" s="423" t="s">
        <v>5010</v>
      </c>
      <c r="J195" s="423">
        <v>430</v>
      </c>
      <c r="K195" s="423"/>
      <c r="L195" s="428"/>
      <c r="M195" s="94"/>
    </row>
    <row r="196" spans="1:20" ht="21">
      <c r="A196" s="422"/>
      <c r="B196" s="422"/>
      <c r="C196" s="422"/>
      <c r="D196" s="422"/>
      <c r="E196" s="422"/>
      <c r="F196" s="422"/>
      <c r="G196" s="422"/>
      <c r="H196" s="422"/>
      <c r="I196" s="423" t="s">
        <v>5011</v>
      </c>
      <c r="J196" s="423">
        <f>J195/J194</f>
        <v>0.4096792234310952</v>
      </c>
      <c r="K196" s="423" t="s">
        <v>5011</v>
      </c>
      <c r="L196" s="428">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7" t="s">
        <v>6929</v>
      </c>
      <c r="D200" s="176" t="s">
        <v>6928</v>
      </c>
      <c r="E200" s="427" t="s">
        <v>6930</v>
      </c>
      <c r="F200" s="176" t="s">
        <v>6931</v>
      </c>
      <c r="G200" s="176" t="s">
        <v>6434</v>
      </c>
      <c r="H200" s="176" t="s">
        <v>6941</v>
      </c>
      <c r="I200" s="176" t="s">
        <v>4245</v>
      </c>
      <c r="J200" s="176" t="s">
        <v>4908</v>
      </c>
      <c r="K200" s="416" t="s">
        <v>5791</v>
      </c>
      <c r="Q200" t="s">
        <v>25</v>
      </c>
    </row>
    <row r="201" spans="1:20" ht="15.75">
      <c r="A201" s="418" t="s">
        <v>6932</v>
      </c>
      <c r="B201" s="419">
        <v>980726326</v>
      </c>
      <c r="C201" s="419">
        <v>800</v>
      </c>
      <c r="D201" s="419">
        <f>B201*C201/$K$201</f>
        <v>9.6267614822085896</v>
      </c>
      <c r="E201" s="426">
        <v>700</v>
      </c>
      <c r="F201" s="418">
        <f>B201*E201/$K$201</f>
        <v>8.4234162969325155</v>
      </c>
      <c r="G201" s="418">
        <v>650</v>
      </c>
      <c r="H201" s="418">
        <f>B201*G201/$K$201</f>
        <v>7.8217437042944784</v>
      </c>
      <c r="I201" s="418">
        <v>4383</v>
      </c>
      <c r="J201" s="418">
        <f>B201*I201/$K$201</f>
        <v>52.742619470650304</v>
      </c>
      <c r="K201" s="419">
        <v>81500000000</v>
      </c>
    </row>
    <row r="202" spans="1:20" ht="15.75">
      <c r="A202" s="420" t="s">
        <v>4476</v>
      </c>
      <c r="B202" s="421">
        <v>478789262</v>
      </c>
      <c r="C202" s="421">
        <v>7000</v>
      </c>
      <c r="D202" s="419">
        <f t="shared" ref="D202:D220" si="42">B202*C202/$K$201</f>
        <v>41.123004098159512</v>
      </c>
      <c r="E202" s="424">
        <v>5800</v>
      </c>
      <c r="F202" s="418">
        <f t="shared" ref="F202:F219" si="43">B202*E202/$K$201</f>
        <v>34.073346252760736</v>
      </c>
      <c r="G202" s="420">
        <v>5600</v>
      </c>
      <c r="H202" s="418">
        <f t="shared" ref="H202:H220" si="44">B202*G202/$K$201</f>
        <v>32.89840327852761</v>
      </c>
      <c r="I202" s="420">
        <v>37780</v>
      </c>
      <c r="J202" s="418">
        <f t="shared" ref="J202:J220" si="45">B202*I202/$K$201</f>
        <v>221.94672783263803</v>
      </c>
      <c r="K202" s="417"/>
    </row>
    <row r="203" spans="1:20" ht="15.75">
      <c r="A203" s="418" t="s">
        <v>6940</v>
      </c>
      <c r="B203" s="419">
        <v>1226605805</v>
      </c>
      <c r="C203" s="419">
        <v>150</v>
      </c>
      <c r="D203" s="419">
        <f t="shared" si="42"/>
        <v>2.2575566963190186</v>
      </c>
      <c r="E203" s="426">
        <v>120</v>
      </c>
      <c r="F203" s="418">
        <f t="shared" si="43"/>
        <v>1.8060453570552146</v>
      </c>
      <c r="G203" s="418">
        <v>5</v>
      </c>
      <c r="H203" s="418">
        <f t="shared" si="44"/>
        <v>7.525188987730061E-2</v>
      </c>
      <c r="I203" s="418">
        <v>1242</v>
      </c>
      <c r="J203" s="418">
        <f t="shared" si="45"/>
        <v>18.692569445521471</v>
      </c>
      <c r="K203" s="417"/>
    </row>
    <row r="204" spans="1:20" ht="15.75">
      <c r="A204" s="420" t="s">
        <v>6939</v>
      </c>
      <c r="B204" s="421">
        <v>2939645030</v>
      </c>
      <c r="C204" s="421">
        <v>10</v>
      </c>
      <c r="D204" s="419">
        <f t="shared" si="42"/>
        <v>0.36069264171779142</v>
      </c>
      <c r="E204" s="424">
        <v>10</v>
      </c>
      <c r="F204" s="418">
        <f t="shared" si="43"/>
        <v>0.36069264171779142</v>
      </c>
      <c r="G204" s="420">
        <v>1</v>
      </c>
      <c r="H204" s="418">
        <f t="shared" si="44"/>
        <v>3.6069264171779143E-2</v>
      </c>
      <c r="I204" s="420">
        <v>473</v>
      </c>
      <c r="J204" s="418">
        <f t="shared" si="45"/>
        <v>17.060761953251532</v>
      </c>
      <c r="K204" s="417"/>
    </row>
    <row r="205" spans="1:20" ht="15.75">
      <c r="A205" s="418" t="s">
        <v>6942</v>
      </c>
      <c r="B205" s="419">
        <v>1270296458</v>
      </c>
      <c r="C205" s="419">
        <v>300</v>
      </c>
      <c r="D205" s="419">
        <f t="shared" si="42"/>
        <v>4.6759378822085891</v>
      </c>
      <c r="E205" s="426">
        <v>300</v>
      </c>
      <c r="F205" s="418">
        <f t="shared" si="43"/>
        <v>4.6759378822085891</v>
      </c>
      <c r="G205" s="418">
        <v>270</v>
      </c>
      <c r="H205" s="418">
        <f t="shared" si="44"/>
        <v>4.2083440939877299</v>
      </c>
      <c r="I205" s="418">
        <v>2402</v>
      </c>
      <c r="J205" s="418">
        <f t="shared" si="45"/>
        <v>37.438675976883438</v>
      </c>
      <c r="K205" s="417"/>
      <c r="N205" s="416" t="s">
        <v>25</v>
      </c>
    </row>
    <row r="206" spans="1:20" ht="15.75">
      <c r="A206" s="420" t="s">
        <v>5798</v>
      </c>
      <c r="B206" s="421">
        <v>1336082292</v>
      </c>
      <c r="C206" s="421">
        <v>3000</v>
      </c>
      <c r="D206" s="419">
        <f t="shared" si="42"/>
        <v>49.180943263803684</v>
      </c>
      <c r="E206" s="424">
        <v>2500</v>
      </c>
      <c r="F206" s="418">
        <f t="shared" si="43"/>
        <v>40.984119386503068</v>
      </c>
      <c r="G206" s="420">
        <v>2100</v>
      </c>
      <c r="H206" s="418">
        <f t="shared" si="44"/>
        <v>34.426660284662574</v>
      </c>
      <c r="I206" s="420">
        <v>18424</v>
      </c>
      <c r="J206" s="418">
        <f t="shared" si="45"/>
        <v>302.03656623077302</v>
      </c>
      <c r="K206" s="417"/>
    </row>
    <row r="207" spans="1:20" ht="15.75">
      <c r="A207" s="418" t="s">
        <v>4371</v>
      </c>
      <c r="B207" s="419">
        <v>1344540394</v>
      </c>
      <c r="C207" s="419">
        <v>1000</v>
      </c>
      <c r="D207" s="419">
        <f t="shared" si="42"/>
        <v>16.497428147239265</v>
      </c>
      <c r="E207" s="426">
        <v>800</v>
      </c>
      <c r="F207" s="418">
        <f t="shared" si="43"/>
        <v>13.197942517791411</v>
      </c>
      <c r="G207" s="418">
        <v>650</v>
      </c>
      <c r="H207" s="418">
        <f t="shared" si="44"/>
        <v>10.723328295705521</v>
      </c>
      <c r="I207" s="418">
        <v>4330</v>
      </c>
      <c r="J207" s="418">
        <f t="shared" si="45"/>
        <v>71.433863877546017</v>
      </c>
      <c r="K207" s="417"/>
    </row>
    <row r="208" spans="1:20" ht="15.75">
      <c r="A208" s="420" t="s">
        <v>6943</v>
      </c>
      <c r="B208" s="421">
        <v>1200002514</v>
      </c>
      <c r="C208" s="421">
        <v>300</v>
      </c>
      <c r="D208" s="419">
        <f t="shared" si="42"/>
        <v>4.4171871680981596</v>
      </c>
      <c r="E208" s="424">
        <v>300</v>
      </c>
      <c r="F208" s="418">
        <f t="shared" si="43"/>
        <v>4.4171871680981596</v>
      </c>
      <c r="G208" s="420">
        <v>250</v>
      </c>
      <c r="H208" s="418">
        <f t="shared" si="44"/>
        <v>3.6809893067484665</v>
      </c>
      <c r="I208" s="420">
        <v>1897</v>
      </c>
      <c r="J208" s="418">
        <f t="shared" si="45"/>
        <v>27.931346859607363</v>
      </c>
      <c r="K208" s="417"/>
    </row>
    <row r="209" spans="1:11" ht="15.75">
      <c r="A209" s="418" t="s">
        <v>4477</v>
      </c>
      <c r="B209" s="419">
        <v>1114663695</v>
      </c>
      <c r="C209" s="419">
        <v>800</v>
      </c>
      <c r="D209" s="419">
        <f t="shared" si="42"/>
        <v>10.941484122699386</v>
      </c>
      <c r="E209" s="426">
        <v>650</v>
      </c>
      <c r="F209" s="418">
        <f t="shared" si="43"/>
        <v>8.8899558496932514</v>
      </c>
      <c r="G209" s="418">
        <v>600</v>
      </c>
      <c r="H209" s="418">
        <f t="shared" si="44"/>
        <v>8.2061130920245393</v>
      </c>
      <c r="I209" s="418">
        <v>5020</v>
      </c>
      <c r="J209" s="418">
        <f t="shared" si="45"/>
        <v>68.657812869938653</v>
      </c>
      <c r="K209" s="417"/>
    </row>
    <row r="210" spans="1:11" ht="15.75">
      <c r="A210" s="420" t="s">
        <v>5762</v>
      </c>
      <c r="B210" s="421">
        <v>2321974047</v>
      </c>
      <c r="C210" s="421">
        <v>900</v>
      </c>
      <c r="D210" s="419">
        <f t="shared" si="42"/>
        <v>25.641431193865031</v>
      </c>
      <c r="E210" s="424">
        <v>700</v>
      </c>
      <c r="F210" s="418">
        <f t="shared" si="43"/>
        <v>19.943335373006136</v>
      </c>
      <c r="G210" s="420">
        <v>650</v>
      </c>
      <c r="H210" s="418">
        <f t="shared" si="44"/>
        <v>18.518811417791412</v>
      </c>
      <c r="I210" s="420">
        <v>4707</v>
      </c>
      <c r="J210" s="418">
        <f t="shared" si="45"/>
        <v>134.10468514391411</v>
      </c>
      <c r="K210" s="417"/>
    </row>
    <row r="211" spans="1:11" ht="15.75">
      <c r="A211" s="418" t="s">
        <v>4832</v>
      </c>
      <c r="B211" s="419">
        <v>770933241</v>
      </c>
      <c r="C211" s="419">
        <v>1700</v>
      </c>
      <c r="D211" s="419">
        <f t="shared" si="42"/>
        <v>16.080816069938649</v>
      </c>
      <c r="E211" s="426">
        <v>1500</v>
      </c>
      <c r="F211" s="418">
        <f t="shared" si="43"/>
        <v>14.18895535582822</v>
      </c>
      <c r="G211" s="418">
        <v>1300</v>
      </c>
      <c r="H211" s="418">
        <f t="shared" si="44"/>
        <v>12.297094641717791</v>
      </c>
      <c r="I211" s="418">
        <v>8104</v>
      </c>
      <c r="J211" s="418">
        <f t="shared" si="45"/>
        <v>76.658196135754608</v>
      </c>
      <c r="K211" s="417"/>
    </row>
    <row r="212" spans="1:11" ht="21">
      <c r="A212" s="420" t="s">
        <v>5794</v>
      </c>
      <c r="B212" s="421">
        <v>21836381454</v>
      </c>
      <c r="C212" s="421">
        <v>150</v>
      </c>
      <c r="D212" s="419">
        <f>B212*C212/$K$201</f>
        <v>40.189659117791408</v>
      </c>
      <c r="E212" s="424">
        <v>134</v>
      </c>
      <c r="F212" s="418">
        <f>B212*E212/$K$201</f>
        <v>35.902762145226994</v>
      </c>
      <c r="G212" s="425">
        <v>60</v>
      </c>
      <c r="H212" s="428">
        <f t="shared" si="44"/>
        <v>16.075863647116563</v>
      </c>
      <c r="I212" s="420">
        <v>1210</v>
      </c>
      <c r="J212" s="418">
        <f t="shared" si="45"/>
        <v>324.19658355018407</v>
      </c>
      <c r="K212" s="417"/>
    </row>
    <row r="213" spans="1:11" ht="15.75">
      <c r="A213" s="418" t="s">
        <v>6933</v>
      </c>
      <c r="B213" s="419">
        <v>880634647</v>
      </c>
      <c r="C213" s="419">
        <v>2000</v>
      </c>
      <c r="D213" s="419">
        <f t="shared" si="42"/>
        <v>21.61066618404908</v>
      </c>
      <c r="E213" s="426">
        <v>1800</v>
      </c>
      <c r="F213" s="418">
        <f t="shared" si="43"/>
        <v>19.449599565644171</v>
      </c>
      <c r="G213" s="418">
        <v>1700</v>
      </c>
      <c r="H213" s="418">
        <f t="shared" si="44"/>
        <v>18.36906625644172</v>
      </c>
      <c r="I213" s="418">
        <v>9067</v>
      </c>
      <c r="J213" s="418">
        <f t="shared" si="45"/>
        <v>97.971955145386502</v>
      </c>
      <c r="K213" s="417"/>
    </row>
    <row r="214" spans="1:11" ht="15.75">
      <c r="A214" s="420" t="s">
        <v>5271</v>
      </c>
      <c r="B214" s="421">
        <v>5351332707</v>
      </c>
      <c r="C214" s="421">
        <v>160</v>
      </c>
      <c r="D214" s="419">
        <f t="shared" si="42"/>
        <v>10.50568384196319</v>
      </c>
      <c r="E214" s="424">
        <v>160</v>
      </c>
      <c r="F214" s="418">
        <f t="shared" si="43"/>
        <v>10.50568384196319</v>
      </c>
      <c r="G214" s="420">
        <v>150</v>
      </c>
      <c r="H214" s="418">
        <f t="shared" si="44"/>
        <v>9.8490786018404908</v>
      </c>
      <c r="I214" s="420">
        <v>941</v>
      </c>
      <c r="J214" s="418">
        <f t="shared" si="45"/>
        <v>61.786553095546012</v>
      </c>
      <c r="K214" s="417" t="s">
        <v>25</v>
      </c>
    </row>
    <row r="215" spans="1:11" ht="15.75">
      <c r="A215" s="418" t="s">
        <v>6934</v>
      </c>
      <c r="B215" s="419">
        <v>1376998000</v>
      </c>
      <c r="C215" s="419">
        <v>2000</v>
      </c>
      <c r="D215" s="419">
        <f t="shared" si="42"/>
        <v>33.791361963190184</v>
      </c>
      <c r="E215" s="426">
        <v>1700</v>
      </c>
      <c r="F215" s="418">
        <f t="shared" si="43"/>
        <v>28.722657668711655</v>
      </c>
      <c r="G215" s="418">
        <v>1600</v>
      </c>
      <c r="H215" s="418">
        <f t="shared" si="44"/>
        <v>27.033089570552146</v>
      </c>
      <c r="I215" s="418">
        <v>9875</v>
      </c>
      <c r="J215" s="418">
        <f t="shared" si="45"/>
        <v>166.84484969325155</v>
      </c>
      <c r="K215" s="417" t="s">
        <v>25</v>
      </c>
    </row>
    <row r="216" spans="1:11" ht="15.75">
      <c r="A216" s="420" t="s">
        <v>6935</v>
      </c>
      <c r="B216" s="421">
        <v>174270956</v>
      </c>
      <c r="C216" s="421">
        <v>800</v>
      </c>
      <c r="D216" s="419">
        <f t="shared" si="42"/>
        <v>1.7106351509202453</v>
      </c>
      <c r="E216" s="424">
        <v>800</v>
      </c>
      <c r="F216" s="418">
        <f t="shared" si="43"/>
        <v>1.7106351509202453</v>
      </c>
      <c r="G216" s="420">
        <v>600</v>
      </c>
      <c r="H216" s="418">
        <f t="shared" si="44"/>
        <v>1.282976363190184</v>
      </c>
      <c r="I216" s="420">
        <v>6319</v>
      </c>
      <c r="J216" s="418">
        <f t="shared" si="45"/>
        <v>13.511879398331288</v>
      </c>
      <c r="K216" s="417"/>
    </row>
    <row r="217" spans="1:11" ht="15.75">
      <c r="A217" s="418" t="s">
        <v>6936</v>
      </c>
      <c r="B217" s="419">
        <v>1</v>
      </c>
      <c r="C217" s="419">
        <v>350000000000</v>
      </c>
      <c r="D217" s="419">
        <f t="shared" si="42"/>
        <v>4.294478527607362</v>
      </c>
      <c r="E217" s="426">
        <v>300000000000</v>
      </c>
      <c r="F217" s="418">
        <f t="shared" si="43"/>
        <v>3.6809815950920246</v>
      </c>
      <c r="G217" s="418">
        <v>250000000000</v>
      </c>
      <c r="H217" s="418">
        <f t="shared" si="44"/>
        <v>3.0674846625766872</v>
      </c>
      <c r="I217" s="418">
        <v>1800000000000</v>
      </c>
      <c r="J217" s="418">
        <f t="shared" si="45"/>
        <v>22.085889570552148</v>
      </c>
      <c r="K217" s="417"/>
    </row>
    <row r="218" spans="1:11" ht="15.75">
      <c r="A218" s="420" t="s">
        <v>6937</v>
      </c>
      <c r="B218" s="421">
        <v>12494998000</v>
      </c>
      <c r="C218" s="421">
        <v>900</v>
      </c>
      <c r="D218" s="419">
        <f t="shared" si="42"/>
        <v>137.98157300613497</v>
      </c>
      <c r="E218" s="424">
        <v>800</v>
      </c>
      <c r="F218" s="418">
        <f t="shared" si="43"/>
        <v>122.65028711656441</v>
      </c>
      <c r="G218" s="420">
        <v>80</v>
      </c>
      <c r="H218" s="418">
        <f t="shared" si="44"/>
        <v>12.265028711656441</v>
      </c>
      <c r="I218" s="420">
        <v>3000</v>
      </c>
      <c r="J218" s="418">
        <f t="shared" si="45"/>
        <v>459.93857668711655</v>
      </c>
      <c r="K218" s="417"/>
    </row>
    <row r="219" spans="1:11" ht="15.75">
      <c r="A219" s="418" t="s">
        <v>6938</v>
      </c>
      <c r="B219" s="419">
        <v>3062221439</v>
      </c>
      <c r="C219" s="419">
        <v>30</v>
      </c>
      <c r="D219" s="419">
        <f t="shared" si="42"/>
        <v>1.1271980757055216</v>
      </c>
      <c r="E219" s="426">
        <v>20</v>
      </c>
      <c r="F219" s="418">
        <f t="shared" si="43"/>
        <v>0.751465383803681</v>
      </c>
      <c r="G219" s="418">
        <v>2</v>
      </c>
      <c r="H219" s="418">
        <f t="shared" si="44"/>
        <v>7.5146538380368097E-2</v>
      </c>
      <c r="I219" s="418">
        <v>2000</v>
      </c>
      <c r="J219" s="418">
        <f t="shared" si="45"/>
        <v>75.146538380368099</v>
      </c>
    </row>
    <row r="220" spans="1:11" ht="15.75">
      <c r="A220" s="420" t="s">
        <v>6471</v>
      </c>
      <c r="B220" s="421">
        <v>1</v>
      </c>
      <c r="C220" s="421">
        <v>750000000000</v>
      </c>
      <c r="D220" s="419">
        <f t="shared" si="42"/>
        <v>9.2024539877300615</v>
      </c>
      <c r="E220" s="421">
        <v>500000000000</v>
      </c>
      <c r="F220" s="418">
        <f>B220*E220/$K$201</f>
        <v>6.1349693251533743</v>
      </c>
      <c r="G220" s="421">
        <v>300000000000</v>
      </c>
      <c r="H220" s="418">
        <f t="shared" si="44"/>
        <v>3.6809815950920246</v>
      </c>
      <c r="I220" s="420">
        <v>4000000000000</v>
      </c>
      <c r="J220" s="418">
        <f t="shared" si="45"/>
        <v>49.079754601226995</v>
      </c>
    </row>
    <row r="221" spans="1:11" ht="15.75">
      <c r="A221" s="422"/>
      <c r="B221" s="415"/>
      <c r="C221" s="415"/>
      <c r="D221" s="415"/>
      <c r="E221" s="422"/>
      <c r="F221" s="422"/>
      <c r="G221" s="422"/>
      <c r="H221" s="422"/>
      <c r="I221" s="422"/>
      <c r="J221" s="422"/>
    </row>
    <row r="222" spans="1:11" ht="21">
      <c r="A222" s="422"/>
      <c r="B222" s="422"/>
      <c r="C222" s="422"/>
      <c r="D222" s="415">
        <f>SUM(D201:D221)</f>
        <v>441.21695262134961</v>
      </c>
      <c r="E222" s="422"/>
      <c r="F222" s="422">
        <f>SUM(F202:F221)</f>
        <v>372.0465595777423</v>
      </c>
      <c r="G222" s="422"/>
      <c r="H222" s="422">
        <f>SUM(H202:H221)</f>
        <v>216.76978151206137</v>
      </c>
      <c r="I222" s="423" t="s">
        <v>4433</v>
      </c>
      <c r="J222" s="423">
        <f>SUM(J201:J220)</f>
        <v>2299.2664059184417</v>
      </c>
    </row>
    <row r="223" spans="1:11" ht="21">
      <c r="A223" s="422"/>
      <c r="B223" s="422"/>
      <c r="C223" s="422"/>
      <c r="D223" s="422" t="s">
        <v>6</v>
      </c>
      <c r="E223" s="422"/>
      <c r="F223" s="422" t="s">
        <v>6</v>
      </c>
      <c r="G223" s="422"/>
      <c r="H223" s="422" t="s">
        <v>6</v>
      </c>
      <c r="I223" s="423" t="s">
        <v>5010</v>
      </c>
      <c r="J223" s="423">
        <v>1400</v>
      </c>
    </row>
    <row r="224" spans="1:11" ht="21">
      <c r="A224" s="422"/>
      <c r="B224" s="422"/>
      <c r="C224" s="422"/>
      <c r="D224" s="422"/>
      <c r="E224" s="422"/>
      <c r="F224" s="422"/>
      <c r="G224" s="422"/>
      <c r="H224" s="422"/>
      <c r="I224" s="423" t="s">
        <v>5011</v>
      </c>
      <c r="J224" s="423">
        <f>J223/J222</f>
        <v>0.6088898599989635</v>
      </c>
    </row>
    <row r="229" spans="1:11" ht="15.75">
      <c r="A229" s="176" t="s">
        <v>4823</v>
      </c>
      <c r="B229" s="176" t="s">
        <v>4824</v>
      </c>
      <c r="C229" s="427" t="s">
        <v>6929</v>
      </c>
      <c r="D229" s="176" t="s">
        <v>6928</v>
      </c>
      <c r="E229" s="427" t="s">
        <v>6930</v>
      </c>
      <c r="F229" s="176" t="s">
        <v>6931</v>
      </c>
      <c r="G229" s="176" t="s">
        <v>6434</v>
      </c>
      <c r="H229" s="176" t="s">
        <v>6941</v>
      </c>
      <c r="I229" s="176" t="s">
        <v>4245</v>
      </c>
      <c r="J229" s="176" t="s">
        <v>4908</v>
      </c>
      <c r="K229" s="416" t="s">
        <v>4653</v>
      </c>
    </row>
    <row r="230" spans="1:11" ht="15.75">
      <c r="A230" s="418" t="s">
        <v>6969</v>
      </c>
      <c r="B230" s="419">
        <v>66006193</v>
      </c>
      <c r="C230" s="419">
        <v>800</v>
      </c>
      <c r="D230" s="419">
        <f t="shared" ref="D230:D249" si="46">B230*C230/$K$230</f>
        <v>4.4004128666666666</v>
      </c>
      <c r="E230" s="418">
        <v>700</v>
      </c>
      <c r="F230" s="418">
        <f>B230*E230/$K$230</f>
        <v>3.8503612583333333</v>
      </c>
      <c r="G230" s="418">
        <v>650</v>
      </c>
      <c r="H230" s="418">
        <f>B230*G230/$K$230</f>
        <v>3.5753354541666669</v>
      </c>
      <c r="I230" s="418">
        <v>2386</v>
      </c>
      <c r="J230" s="418">
        <f>B230*I230/$K$230</f>
        <v>13.124231374833334</v>
      </c>
      <c r="K230" s="419">
        <v>12000000000</v>
      </c>
    </row>
    <row r="231" spans="1:11" ht="15.75">
      <c r="A231" s="420" t="s">
        <v>5788</v>
      </c>
      <c r="B231" s="419">
        <v>1285274355</v>
      </c>
      <c r="C231" s="421">
        <v>450</v>
      </c>
      <c r="D231" s="419">
        <f t="shared" si="46"/>
        <v>48.197788312500002</v>
      </c>
      <c r="E231" s="424">
        <v>308</v>
      </c>
      <c r="F231" s="418">
        <f t="shared" ref="F231:F250" si="47">B231*E231/$K$230</f>
        <v>32.988708445</v>
      </c>
      <c r="G231" s="420">
        <v>213</v>
      </c>
      <c r="H231" s="418">
        <f t="shared" ref="H231:H250" si="48">B231*G231/$K$230</f>
        <v>22.813619801249999</v>
      </c>
      <c r="I231" s="420">
        <v>2810</v>
      </c>
      <c r="J231" s="418">
        <f t="shared" ref="J231:J249" si="49">B231*I231/$K$230</f>
        <v>300.9684114625</v>
      </c>
      <c r="K231" s="434"/>
    </row>
    <row r="232" spans="1:11" ht="15.75">
      <c r="A232" s="418" t="s">
        <v>6963</v>
      </c>
      <c r="B232" s="419">
        <v>995049277</v>
      </c>
      <c r="C232" s="419">
        <v>260</v>
      </c>
      <c r="D232" s="419">
        <f t="shared" si="46"/>
        <v>21.559401001666668</v>
      </c>
      <c r="E232" s="426">
        <v>120</v>
      </c>
      <c r="F232" s="418">
        <f t="shared" si="47"/>
        <v>9.9504927700000003</v>
      </c>
      <c r="G232" s="418">
        <v>30</v>
      </c>
      <c r="H232" s="418">
        <f t="shared" si="48"/>
        <v>2.4876231925000001</v>
      </c>
      <c r="I232" s="418">
        <v>1107</v>
      </c>
      <c r="J232" s="418">
        <f t="shared" si="49"/>
        <v>91.793295803250004</v>
      </c>
      <c r="K232" s="434"/>
    </row>
    <row r="233" spans="1:11" ht="15.75">
      <c r="A233" s="420" t="s">
        <v>6964</v>
      </c>
      <c r="B233" s="421">
        <v>676410539</v>
      </c>
      <c r="C233" s="421">
        <v>300</v>
      </c>
      <c r="D233" s="419">
        <f t="shared" si="46"/>
        <v>16.910263475000001</v>
      </c>
      <c r="E233" s="424">
        <v>257</v>
      </c>
      <c r="F233" s="418">
        <f t="shared" si="47"/>
        <v>14.486459043583332</v>
      </c>
      <c r="G233" s="420">
        <v>130</v>
      </c>
      <c r="H233" s="418">
        <f t="shared" si="48"/>
        <v>7.3277808391666666</v>
      </c>
      <c r="I233" s="420">
        <v>1264</v>
      </c>
      <c r="J233" s="418">
        <f t="shared" si="49"/>
        <v>71.24857677466666</v>
      </c>
      <c r="K233" s="434"/>
    </row>
    <row r="234" spans="1:11" ht="15.75">
      <c r="A234" s="418" t="s">
        <v>6965</v>
      </c>
      <c r="B234" s="419">
        <v>213196988</v>
      </c>
      <c r="C234" s="419">
        <v>200</v>
      </c>
      <c r="D234" s="419">
        <f t="shared" si="46"/>
        <v>3.5532831333333332</v>
      </c>
      <c r="E234" s="426">
        <v>167</v>
      </c>
      <c r="F234" s="418">
        <f t="shared" si="47"/>
        <v>2.9669914163333333</v>
      </c>
      <c r="G234" s="418">
        <v>85</v>
      </c>
      <c r="H234" s="418">
        <f t="shared" si="48"/>
        <v>1.5101453316666666</v>
      </c>
      <c r="I234" s="418">
        <v>1650</v>
      </c>
      <c r="J234" s="418">
        <f t="shared" si="49"/>
        <v>29.31458585</v>
      </c>
      <c r="K234" s="434"/>
    </row>
    <row r="235" spans="1:11" ht="15.75">
      <c r="A235" s="420" t="s">
        <v>4216</v>
      </c>
      <c r="B235" s="421">
        <v>113533718</v>
      </c>
      <c r="C235" s="421">
        <v>300</v>
      </c>
      <c r="D235" s="419">
        <f t="shared" si="46"/>
        <v>2.8383429499999999</v>
      </c>
      <c r="E235" s="424">
        <v>230</v>
      </c>
      <c r="F235" s="418">
        <f t="shared" si="47"/>
        <v>2.1760629283333333</v>
      </c>
      <c r="G235" s="420">
        <v>200</v>
      </c>
      <c r="H235" s="418">
        <f t="shared" si="48"/>
        <v>1.8922286333333334</v>
      </c>
      <c r="I235" s="420">
        <v>1530</v>
      </c>
      <c r="J235" s="418">
        <f t="shared" si="49"/>
        <v>14.475549044999999</v>
      </c>
      <c r="K235" s="434"/>
    </row>
    <row r="236" spans="1:11" ht="15.75">
      <c r="A236" s="418" t="s">
        <v>6467</v>
      </c>
      <c r="B236" s="419">
        <v>1385388043</v>
      </c>
      <c r="C236" s="419">
        <v>350</v>
      </c>
      <c r="D236" s="419">
        <f t="shared" si="46"/>
        <v>40.407151254166664</v>
      </c>
      <c r="E236" s="426">
        <v>190</v>
      </c>
      <c r="F236" s="418">
        <f t="shared" si="47"/>
        <v>21.935310680833332</v>
      </c>
      <c r="G236" s="418">
        <v>130</v>
      </c>
      <c r="H236" s="418">
        <f t="shared" si="48"/>
        <v>15.008370465833334</v>
      </c>
      <c r="I236" s="418">
        <v>2200</v>
      </c>
      <c r="J236" s="418">
        <f t="shared" si="49"/>
        <v>253.98780788333335</v>
      </c>
      <c r="K236" s="434"/>
    </row>
    <row r="237" spans="1:11" ht="15.75">
      <c r="A237" s="420" t="s">
        <v>4509</v>
      </c>
      <c r="B237" s="421">
        <v>1246451029</v>
      </c>
      <c r="C237" s="421">
        <v>260</v>
      </c>
      <c r="D237" s="419">
        <f t="shared" si="46"/>
        <v>27.006438961666667</v>
      </c>
      <c r="E237" s="424">
        <v>130</v>
      </c>
      <c r="F237" s="418">
        <f t="shared" si="47"/>
        <v>13.503219480833334</v>
      </c>
      <c r="G237" s="420">
        <v>28</v>
      </c>
      <c r="H237" s="418">
        <f t="shared" si="48"/>
        <v>2.9083857343333333</v>
      </c>
      <c r="I237" s="420">
        <v>1315</v>
      </c>
      <c r="J237" s="418">
        <f t="shared" si="49"/>
        <v>136.59025859458333</v>
      </c>
      <c r="K237" s="434"/>
    </row>
    <row r="238" spans="1:11" ht="15.75">
      <c r="A238" s="418" t="s">
        <v>5795</v>
      </c>
      <c r="B238" s="419">
        <v>111005114</v>
      </c>
      <c r="C238" s="419">
        <v>250</v>
      </c>
      <c r="D238" s="419">
        <f t="shared" si="46"/>
        <v>2.3126065416666668</v>
      </c>
      <c r="E238" s="426">
        <v>223</v>
      </c>
      <c r="F238" s="418">
        <f t="shared" si="47"/>
        <v>2.0628450351666667</v>
      </c>
      <c r="G238" s="418">
        <v>80</v>
      </c>
      <c r="H238" s="418">
        <f t="shared" si="48"/>
        <v>0.74003409333333336</v>
      </c>
      <c r="I238" s="418">
        <v>1600</v>
      </c>
      <c r="J238" s="418">
        <f t="shared" si="49"/>
        <v>14.800681866666666</v>
      </c>
      <c r="K238" s="434"/>
    </row>
    <row r="239" spans="1:11" ht="15.75">
      <c r="A239" s="420" t="s">
        <v>4476</v>
      </c>
      <c r="B239" s="421">
        <v>7385687</v>
      </c>
      <c r="C239" s="421">
        <v>6000</v>
      </c>
      <c r="D239" s="419">
        <f t="shared" si="46"/>
        <v>3.6928434999999999</v>
      </c>
      <c r="E239" s="424">
        <v>5800</v>
      </c>
      <c r="F239" s="418">
        <f t="shared" si="47"/>
        <v>3.5697487166666666</v>
      </c>
      <c r="G239" s="420">
        <v>5800</v>
      </c>
      <c r="H239" s="418">
        <f t="shared" si="48"/>
        <v>3.5697487166666666</v>
      </c>
      <c r="I239" s="420">
        <v>40260</v>
      </c>
      <c r="J239" s="418">
        <f t="shared" si="49"/>
        <v>24.778979884999998</v>
      </c>
      <c r="K239" s="434"/>
    </row>
    <row r="240" spans="1:11" ht="15.75">
      <c r="A240" s="418" t="s">
        <v>6966</v>
      </c>
      <c r="B240" s="419">
        <v>471875451</v>
      </c>
      <c r="C240" s="419">
        <v>0</v>
      </c>
      <c r="D240" s="419">
        <f t="shared" si="46"/>
        <v>0</v>
      </c>
      <c r="E240" s="426">
        <v>0</v>
      </c>
      <c r="F240" s="418">
        <f t="shared" si="47"/>
        <v>0</v>
      </c>
      <c r="G240" s="418">
        <v>0</v>
      </c>
      <c r="H240" s="418">
        <f t="shared" si="48"/>
        <v>0</v>
      </c>
      <c r="I240" s="418">
        <v>2100</v>
      </c>
      <c r="J240" s="418">
        <f t="shared" si="49"/>
        <v>82.578203924999997</v>
      </c>
      <c r="K240" s="434"/>
    </row>
    <row r="241" spans="1:12" ht="18.75">
      <c r="A241" s="420" t="s">
        <v>4830</v>
      </c>
      <c r="B241" s="421">
        <v>84202942</v>
      </c>
      <c r="C241" s="421">
        <v>3000</v>
      </c>
      <c r="D241" s="419">
        <f t="shared" si="46"/>
        <v>21.050735499999998</v>
      </c>
      <c r="E241" s="424">
        <v>2100</v>
      </c>
      <c r="F241" s="418">
        <f t="shared" si="47"/>
        <v>14.735514849999999</v>
      </c>
      <c r="G241" s="437">
        <v>1800</v>
      </c>
      <c r="H241" s="418">
        <f t="shared" si="48"/>
        <v>12.630441299999999</v>
      </c>
      <c r="I241" s="420">
        <v>17768</v>
      </c>
      <c r="J241" s="418">
        <f t="shared" si="49"/>
        <v>124.67648945466667</v>
      </c>
      <c r="K241" s="434"/>
    </row>
    <row r="242" spans="1:12" ht="15.75">
      <c r="A242" s="418" t="s">
        <v>4358</v>
      </c>
      <c r="B242" s="419">
        <v>6727696</v>
      </c>
      <c r="C242" s="419">
        <v>4500</v>
      </c>
      <c r="D242" s="419">
        <f t="shared" si="46"/>
        <v>2.5228860000000002</v>
      </c>
      <c r="E242" s="426">
        <v>2400</v>
      </c>
      <c r="F242" s="418">
        <f t="shared" si="47"/>
        <v>1.3455391999999999</v>
      </c>
      <c r="G242" s="418">
        <v>2300</v>
      </c>
      <c r="H242" s="418">
        <f t="shared" si="48"/>
        <v>1.2894750666666666</v>
      </c>
      <c r="I242" s="418">
        <v>29290</v>
      </c>
      <c r="J242" s="418">
        <f t="shared" si="49"/>
        <v>16.421184653333334</v>
      </c>
      <c r="K242" s="434"/>
    </row>
    <row r="243" spans="1:12" ht="15.75">
      <c r="A243" s="420" t="s">
        <v>5846</v>
      </c>
      <c r="B243" s="421">
        <v>288259927</v>
      </c>
      <c r="C243" s="421">
        <v>550</v>
      </c>
      <c r="D243" s="419">
        <f t="shared" si="46"/>
        <v>13.211913320833334</v>
      </c>
      <c r="E243" s="424">
        <v>430</v>
      </c>
      <c r="F243" s="418">
        <f t="shared" si="47"/>
        <v>10.329314050833334</v>
      </c>
      <c r="G243" s="420">
        <v>380</v>
      </c>
      <c r="H243" s="418">
        <f t="shared" si="48"/>
        <v>9.1282310216666662</v>
      </c>
      <c r="I243" s="420">
        <v>3341</v>
      </c>
      <c r="J243" s="418">
        <f t="shared" si="49"/>
        <v>80.256368008916667</v>
      </c>
      <c r="K243" s="434" t="s">
        <v>25</v>
      </c>
    </row>
    <row r="244" spans="1:12" ht="15.75">
      <c r="A244" s="418" t="s">
        <v>5794</v>
      </c>
      <c r="B244" s="419">
        <v>103608037</v>
      </c>
      <c r="C244" s="419">
        <v>160</v>
      </c>
      <c r="D244" s="419">
        <f t="shared" si="46"/>
        <v>1.3814404933333333</v>
      </c>
      <c r="E244" s="418">
        <v>134</v>
      </c>
      <c r="F244" s="418">
        <f t="shared" si="47"/>
        <v>1.1569564131666668</v>
      </c>
      <c r="G244" s="418">
        <v>60</v>
      </c>
      <c r="H244" s="418">
        <f t="shared" si="48"/>
        <v>0.51804018500000004</v>
      </c>
      <c r="I244" s="418">
        <v>1235</v>
      </c>
      <c r="J244" s="418">
        <f t="shared" si="49"/>
        <v>10.662993807916667</v>
      </c>
      <c r="K244" s="434" t="s">
        <v>25</v>
      </c>
    </row>
    <row r="245" spans="1:12" ht="15.75">
      <c r="A245" s="420" t="s">
        <v>5762</v>
      </c>
      <c r="B245" s="421">
        <v>38247354</v>
      </c>
      <c r="C245" s="421">
        <v>1000</v>
      </c>
      <c r="D245" s="419">
        <f t="shared" si="46"/>
        <v>3.1872794999999998</v>
      </c>
      <c r="E245" s="420">
        <v>727</v>
      </c>
      <c r="F245" s="418">
        <f t="shared" si="47"/>
        <v>2.3171521964999999</v>
      </c>
      <c r="G245" s="420">
        <v>650</v>
      </c>
      <c r="H245" s="418">
        <f t="shared" si="48"/>
        <v>2.0717316750000001</v>
      </c>
      <c r="I245" s="420">
        <v>4805</v>
      </c>
      <c r="J245" s="418">
        <f t="shared" si="49"/>
        <v>15.3148779975</v>
      </c>
      <c r="K245" s="434"/>
    </row>
    <row r="246" spans="1:12" ht="15.75">
      <c r="A246" s="418" t="s">
        <v>6967</v>
      </c>
      <c r="B246" s="419">
        <v>79825258</v>
      </c>
      <c r="C246" s="419">
        <v>250</v>
      </c>
      <c r="D246" s="419">
        <f t="shared" si="46"/>
        <v>1.6630262083333334</v>
      </c>
      <c r="E246" s="418">
        <v>197</v>
      </c>
      <c r="F246" s="418">
        <f t="shared" si="47"/>
        <v>1.3104646521666667</v>
      </c>
      <c r="G246" s="418">
        <v>180</v>
      </c>
      <c r="H246" s="418">
        <f t="shared" si="48"/>
        <v>1.1973788700000001</v>
      </c>
      <c r="I246" s="418">
        <v>2370</v>
      </c>
      <c r="J246" s="418">
        <f t="shared" si="49"/>
        <v>15.765488455</v>
      </c>
      <c r="K246" s="434"/>
    </row>
    <row r="247" spans="1:12" ht="15.75">
      <c r="A247" s="420" t="s">
        <v>4354</v>
      </c>
      <c r="B247" s="421">
        <v>6427897</v>
      </c>
      <c r="C247" s="421">
        <v>3000</v>
      </c>
      <c r="D247" s="419">
        <f t="shared" si="46"/>
        <v>1.6069742499999999</v>
      </c>
      <c r="E247" s="420">
        <v>2037</v>
      </c>
      <c r="F247" s="418">
        <f t="shared" si="47"/>
        <v>1.09113551575</v>
      </c>
      <c r="G247" s="420">
        <v>2000</v>
      </c>
      <c r="H247" s="418">
        <f t="shared" si="48"/>
        <v>1.0713161666666666</v>
      </c>
      <c r="I247" s="420">
        <v>18724</v>
      </c>
      <c r="J247" s="418">
        <f t="shared" si="49"/>
        <v>10.029661952333333</v>
      </c>
      <c r="K247" s="434"/>
    </row>
    <row r="248" spans="1:12" ht="15.75">
      <c r="A248" s="418" t="s">
        <v>5789</v>
      </c>
      <c r="B248" s="419">
        <v>131231371</v>
      </c>
      <c r="C248" s="419">
        <v>300</v>
      </c>
      <c r="D248" s="419">
        <f t="shared" si="46"/>
        <v>3.2807842749999998</v>
      </c>
      <c r="E248" s="418">
        <v>173</v>
      </c>
      <c r="F248" s="418">
        <f t="shared" si="47"/>
        <v>1.8919189319166667</v>
      </c>
      <c r="G248" s="418">
        <v>170</v>
      </c>
      <c r="H248" s="418">
        <f t="shared" si="48"/>
        <v>1.8591110891666667</v>
      </c>
      <c r="I248" s="418">
        <v>4454</v>
      </c>
      <c r="J248" s="418">
        <f t="shared" si="49"/>
        <v>48.70871053616667</v>
      </c>
      <c r="K248" s="434"/>
    </row>
    <row r="249" spans="1:12" ht="15.75">
      <c r="A249" s="420" t="s">
        <v>6968</v>
      </c>
      <c r="B249" s="421">
        <v>891943775</v>
      </c>
      <c r="C249" s="421">
        <v>0</v>
      </c>
      <c r="D249" s="419">
        <f t="shared" si="46"/>
        <v>0</v>
      </c>
      <c r="E249" s="421">
        <v>0</v>
      </c>
      <c r="F249" s="418">
        <f t="shared" si="47"/>
        <v>0</v>
      </c>
      <c r="G249" s="421">
        <v>0</v>
      </c>
      <c r="H249" s="418">
        <f t="shared" si="48"/>
        <v>0</v>
      </c>
      <c r="I249" s="420">
        <v>1100</v>
      </c>
      <c r="J249" s="418">
        <f t="shared" si="49"/>
        <v>81.761512708333328</v>
      </c>
      <c r="K249" s="434"/>
    </row>
    <row r="250" spans="1:12" ht="15.75">
      <c r="A250" s="420" t="s">
        <v>6936</v>
      </c>
      <c r="B250" s="421">
        <v>1</v>
      </c>
      <c r="C250" s="421">
        <v>500000000000</v>
      </c>
      <c r="D250" s="419">
        <f>B250*C250/$K$230</f>
        <v>41.666666666666664</v>
      </c>
      <c r="E250" s="421">
        <v>500000000000</v>
      </c>
      <c r="F250" s="418">
        <f t="shared" si="47"/>
        <v>41.666666666666664</v>
      </c>
      <c r="G250" s="421">
        <v>300000000000</v>
      </c>
      <c r="H250" s="418">
        <f t="shared" si="48"/>
        <v>25</v>
      </c>
      <c r="I250" s="420">
        <v>3000000000000</v>
      </c>
      <c r="J250" s="418">
        <f>B250*I250/$K$230</f>
        <v>250</v>
      </c>
      <c r="K250" s="434"/>
      <c r="L250" t="s">
        <v>25</v>
      </c>
    </row>
    <row r="251" spans="1:12" ht="15.75">
      <c r="A251" s="422"/>
      <c r="B251" s="415"/>
      <c r="C251" s="415"/>
      <c r="D251" s="415"/>
      <c r="E251" s="422"/>
      <c r="F251" s="422"/>
      <c r="G251" s="422"/>
      <c r="H251" s="422"/>
      <c r="I251" s="422"/>
      <c r="J251" s="422"/>
      <c r="K251" s="434"/>
    </row>
    <row r="252" spans="1:12" ht="21">
      <c r="A252" s="422"/>
      <c r="B252" s="422"/>
      <c r="C252" s="422"/>
      <c r="D252" s="415">
        <f>SUM(D230:D251)</f>
        <v>260.45023821083339</v>
      </c>
      <c r="E252" s="422"/>
      <c r="F252" s="422">
        <f>SUM(F231:F251)</f>
        <v>179.48450099375</v>
      </c>
      <c r="G252" s="422"/>
      <c r="H252" s="422">
        <f>SUM(H231:H251)</f>
        <v>113.02366218224998</v>
      </c>
      <c r="I252" s="423" t="s">
        <v>4433</v>
      </c>
      <c r="J252" s="423">
        <f>SUM(J230:J250)</f>
        <v>1687.2578700389997</v>
      </c>
      <c r="K252" s="434"/>
    </row>
    <row r="253" spans="1:12" ht="21">
      <c r="A253" s="422"/>
      <c r="B253" s="422"/>
      <c r="C253" s="422"/>
      <c r="D253" s="422" t="s">
        <v>6</v>
      </c>
      <c r="E253" s="422"/>
      <c r="F253" s="422" t="s">
        <v>6</v>
      </c>
      <c r="G253" s="422"/>
      <c r="H253" s="422" t="s">
        <v>6</v>
      </c>
      <c r="I253" s="423" t="s">
        <v>5010</v>
      </c>
      <c r="J253" s="423">
        <v>805</v>
      </c>
      <c r="K253" s="434"/>
    </row>
    <row r="254" spans="1:12" ht="21">
      <c r="A254" s="422"/>
      <c r="B254" s="422"/>
      <c r="C254" s="422"/>
      <c r="D254" s="422"/>
      <c r="E254" s="422"/>
      <c r="F254" s="422"/>
      <c r="G254" s="422"/>
      <c r="H254" s="422"/>
      <c r="I254" s="423" t="s">
        <v>5011</v>
      </c>
      <c r="J254" s="423">
        <f>J253/J252</f>
        <v>0.47710549424279347</v>
      </c>
    </row>
    <row r="257" spans="1:10">
      <c r="A257" s="476" t="s">
        <v>4245</v>
      </c>
      <c r="B257" s="476">
        <v>17800</v>
      </c>
      <c r="C257" s="477"/>
      <c r="D257" s="477"/>
      <c r="E257" s="477"/>
      <c r="F257" s="477"/>
      <c r="G257" s="477"/>
      <c r="H257" s="477"/>
      <c r="I257" s="477"/>
      <c r="J257" s="477"/>
    </row>
    <row r="258" spans="1:10">
      <c r="A258" s="476" t="s">
        <v>7105</v>
      </c>
      <c r="B258" s="476">
        <v>4000</v>
      </c>
      <c r="C258" s="477"/>
      <c r="D258" s="477"/>
      <c r="E258" s="477"/>
      <c r="F258" s="477"/>
      <c r="G258" s="477"/>
      <c r="H258" s="477"/>
      <c r="I258" s="477"/>
      <c r="J258" s="477"/>
    </row>
    <row r="259" spans="1:10">
      <c r="A259" s="476" t="s">
        <v>7104</v>
      </c>
      <c r="B259" s="476">
        <v>2134</v>
      </c>
      <c r="C259" s="477"/>
      <c r="D259" s="477"/>
      <c r="E259" s="477"/>
      <c r="F259" s="477"/>
      <c r="G259" s="477"/>
      <c r="H259" s="477"/>
      <c r="I259" s="477"/>
      <c r="J259" s="477"/>
    </row>
    <row r="260" spans="1:10" ht="45">
      <c r="A260" s="478"/>
      <c r="B260" s="476" t="s">
        <v>7099</v>
      </c>
      <c r="C260" s="476" t="s">
        <v>4830</v>
      </c>
      <c r="D260" s="476" t="s">
        <v>5846</v>
      </c>
      <c r="E260" s="478" t="s">
        <v>4216</v>
      </c>
      <c r="F260" s="478" t="s">
        <v>7100</v>
      </c>
      <c r="G260" s="478" t="s">
        <v>7101</v>
      </c>
      <c r="H260" s="481" t="s">
        <v>7102</v>
      </c>
      <c r="I260" s="479" t="s">
        <v>7103</v>
      </c>
      <c r="J260" s="479" t="s">
        <v>7106</v>
      </c>
    </row>
    <row r="261" spans="1:10" ht="15.75">
      <c r="A261" s="476" t="s">
        <v>4830</v>
      </c>
      <c r="B261" s="480">
        <v>6000000000</v>
      </c>
      <c r="C261" s="480">
        <v>0</v>
      </c>
      <c r="D261" s="480">
        <v>0</v>
      </c>
      <c r="E261" s="480">
        <v>0</v>
      </c>
      <c r="F261" s="480"/>
      <c r="G261" s="480"/>
      <c r="H261" s="480"/>
      <c r="I261" s="480"/>
      <c r="J261" s="480"/>
    </row>
    <row r="262" spans="1:10" ht="15.75">
      <c r="A262" s="476" t="s">
        <v>5846</v>
      </c>
      <c r="B262" s="480">
        <v>40500000000</v>
      </c>
      <c r="C262" s="480">
        <v>4127266661</v>
      </c>
      <c r="D262" s="480">
        <v>0</v>
      </c>
      <c r="E262" s="480">
        <v>0</v>
      </c>
      <c r="F262" s="480">
        <f>C262</f>
        <v>4127266661</v>
      </c>
      <c r="G262" s="480">
        <f>F262*$B$257</f>
        <v>73465346565800</v>
      </c>
      <c r="H262" s="480">
        <f>G262/B262</f>
        <v>1813.9591744641975</v>
      </c>
      <c r="I262" s="480">
        <f>F262*$B$259/B262</f>
        <v>217.47128529812346</v>
      </c>
      <c r="J262" s="480">
        <f>F262*$B$258/B262</f>
        <v>407.63127516049383</v>
      </c>
    </row>
    <row r="263" spans="1:10" ht="15.75">
      <c r="A263" s="476" t="s">
        <v>4216</v>
      </c>
      <c r="B263" s="480">
        <v>72000000000</v>
      </c>
      <c r="C263" s="480">
        <v>8000</v>
      </c>
      <c r="D263" s="480">
        <v>27500000000</v>
      </c>
      <c r="E263" s="480">
        <v>0</v>
      </c>
      <c r="F263" s="480">
        <f>C263+(D263/B262)*F262</f>
        <v>2802473016.728395</v>
      </c>
      <c r="G263" s="480">
        <f>F263*$B$257</f>
        <v>49884019697765.43</v>
      </c>
      <c r="H263" s="480">
        <f t="shared" ref="H263:H265" si="50">G263/B263</f>
        <v>692.83360691340874</v>
      </c>
      <c r="I263" s="480">
        <f>F263*$B$259/B263</f>
        <v>83.06218635692214</v>
      </c>
      <c r="J263" s="480">
        <f>F263*$B$258/B263</f>
        <v>155.69294537379972</v>
      </c>
    </row>
    <row r="264" spans="1:10" ht="15.75">
      <c r="A264" s="476" t="s">
        <v>4653</v>
      </c>
      <c r="B264" s="480">
        <v>12000000000</v>
      </c>
      <c r="C264" s="480">
        <v>84902942</v>
      </c>
      <c r="D264" s="480">
        <v>296603601</v>
      </c>
      <c r="E264" s="480">
        <v>113533718</v>
      </c>
      <c r="F264" s="480">
        <f>C264+(D264/B262)*F262+(E264/B263)*F263</f>
        <v>119548267.76187068</v>
      </c>
      <c r="G264" s="480">
        <f>F264*$B$257</f>
        <v>2127959166161.2981</v>
      </c>
      <c r="H264" s="480">
        <f t="shared" si="50"/>
        <v>177.3299305134415</v>
      </c>
      <c r="I264" s="480">
        <f>F264*$B$259/B264</f>
        <v>21.259666950319335</v>
      </c>
      <c r="J264" s="480">
        <f>F264*$B$258/B264</f>
        <v>39.849422587290228</v>
      </c>
    </row>
    <row r="265" spans="1:10" ht="15.75">
      <c r="A265" s="476" t="s">
        <v>5262</v>
      </c>
      <c r="B265" s="480">
        <v>30000000000</v>
      </c>
      <c r="C265" s="480">
        <v>0</v>
      </c>
      <c r="D265" s="480">
        <v>0</v>
      </c>
      <c r="E265" s="480">
        <v>3356161798</v>
      </c>
      <c r="F265" s="480">
        <f>(E265/B263)*F263</f>
        <v>130632678.87041186</v>
      </c>
      <c r="G265" s="480">
        <f>F265*$B$257</f>
        <v>2325261683893.3311</v>
      </c>
      <c r="H265" s="480">
        <f t="shared" si="50"/>
        <v>77.508722796444374</v>
      </c>
      <c r="I265" s="480">
        <f>F265*$B$259/B265</f>
        <v>9.2923378903152969</v>
      </c>
      <c r="J265" s="480">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6"/>
  <sheetViews>
    <sheetView topLeftCell="I18" zoomScale="85" zoomScaleNormal="85"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7084</v>
      </c>
      <c r="N20" s="111">
        <v>7907</v>
      </c>
      <c r="O20" s="97"/>
      <c r="P20" s="93"/>
      <c r="Q20" s="67">
        <f t="shared" ref="Q20:Q28" si="6">N26*100/$S$188</f>
        <v>2.4854198054070291E-6</v>
      </c>
      <c r="R20" s="167">
        <v>9268987</v>
      </c>
      <c r="S20" s="166" t="s">
        <v>4149</v>
      </c>
      <c r="T20" s="189">
        <f>T112</f>
        <v>1200</v>
      </c>
      <c r="U20" s="166" t="s">
        <v>4280</v>
      </c>
      <c r="V20" s="166">
        <v>192.1</v>
      </c>
      <c r="W20" s="166">
        <f t="shared" ref="W20:W51" si="7">V20*(1+$S$108+$R$15*T20/36500)</f>
        <v>371.85718027397263</v>
      </c>
      <c r="X20" s="32">
        <f t="shared" ref="X20:X26" si="8">W20*(1+$X$19/100)</f>
        <v>379.29432387945207</v>
      </c>
      <c r="Y20" s="32">
        <f t="shared" ref="Y20:Y26" si="9">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7085</v>
      </c>
      <c r="N21" s="111">
        <f>O21*P21</f>
        <v>515396060</v>
      </c>
      <c r="O21" s="97">
        <v>353011</v>
      </c>
      <c r="P21" s="93">
        <f>P51</f>
        <v>1460</v>
      </c>
      <c r="Q21" s="67">
        <f t="shared" si="6"/>
        <v>0</v>
      </c>
      <c r="R21" s="167">
        <v>1353959</v>
      </c>
      <c r="S21" s="166" t="s">
        <v>4388</v>
      </c>
      <c r="T21" s="195">
        <f>T20-59</f>
        <v>1141</v>
      </c>
      <c r="U21" s="19" t="s">
        <v>4422</v>
      </c>
      <c r="V21" s="166">
        <v>192.2</v>
      </c>
      <c r="W21" s="166">
        <f t="shared" si="7"/>
        <v>363.35173041095891</v>
      </c>
      <c r="X21" s="32">
        <f t="shared" si="8"/>
        <v>370.61876501917811</v>
      </c>
      <c r="Y21" s="32">
        <f t="shared" si="9"/>
        <v>377.88579962739726</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7086</v>
      </c>
      <c r="N22" s="111">
        <f>O22*P22</f>
        <v>12282356.4</v>
      </c>
      <c r="O22" s="97">
        <v>27012</v>
      </c>
      <c r="P22" s="93">
        <f>P54</f>
        <v>454.7</v>
      </c>
      <c r="Q22" s="67">
        <f t="shared" si="6"/>
        <v>33.580465597317243</v>
      </c>
      <c r="R22" s="167">
        <v>1614398</v>
      </c>
      <c r="S22" s="166" t="s">
        <v>4394</v>
      </c>
      <c r="T22" s="166">
        <f>T21-3</f>
        <v>1138</v>
      </c>
      <c r="U22" s="19" t="s">
        <v>5591</v>
      </c>
      <c r="V22" s="166">
        <v>184.6</v>
      </c>
      <c r="W22" s="166">
        <f t="shared" si="7"/>
        <v>348.55919123287669</v>
      </c>
      <c r="X22" s="32">
        <f t="shared" si="8"/>
        <v>355.53037505753423</v>
      </c>
      <c r="Y22" s="32">
        <f t="shared" si="9"/>
        <v>362.50155888219177</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1.995052885664375</v>
      </c>
      <c r="R23" s="167">
        <v>133576</v>
      </c>
      <c r="S23" s="166" t="s">
        <v>4459</v>
      </c>
      <c r="T23" s="194">
        <f>T22-22</f>
        <v>1116</v>
      </c>
      <c r="U23" s="166" t="s">
        <v>4460</v>
      </c>
      <c r="V23" s="166">
        <v>166.2</v>
      </c>
      <c r="W23" s="166">
        <f t="shared" si="7"/>
        <v>311.01165369863014</v>
      </c>
      <c r="X23" s="32">
        <f t="shared" si="8"/>
        <v>317.23188677260276</v>
      </c>
      <c r="Y23" s="32">
        <f t="shared" si="9"/>
        <v>323.45211984657539</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37071997.531769276</v>
      </c>
      <c r="G24" s="93">
        <f t="shared" si="0"/>
        <v>243234347.85016936</v>
      </c>
      <c r="H24" s="11"/>
      <c r="I24" s="94"/>
      <c r="J24" s="94"/>
      <c r="K24" s="206"/>
      <c r="L24" s="115"/>
      <c r="M24" s="206"/>
      <c r="N24" s="111"/>
      <c r="O24" s="112"/>
      <c r="P24" s="472"/>
      <c r="Q24" s="67">
        <f t="shared" si="6"/>
        <v>0</v>
      </c>
      <c r="R24" s="167">
        <v>220803</v>
      </c>
      <c r="S24" s="166" t="s">
        <v>4204</v>
      </c>
      <c r="T24" s="194">
        <f>T23-1</f>
        <v>1115</v>
      </c>
      <c r="U24" s="166" t="s">
        <v>4466</v>
      </c>
      <c r="V24" s="166">
        <v>166</v>
      </c>
      <c r="W24" s="166">
        <f t="shared" si="7"/>
        <v>310.5100493150685</v>
      </c>
      <c r="X24" s="32">
        <f t="shared" si="8"/>
        <v>316.7202503013699</v>
      </c>
      <c r="Y24" s="32">
        <f t="shared" si="9"/>
        <v>322.93045128767125</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2"/>
      <c r="Q25" s="67">
        <f t="shared" si="6"/>
        <v>0</v>
      </c>
      <c r="R25" s="167">
        <v>1023940</v>
      </c>
      <c r="S25" s="166" t="s">
        <v>4467</v>
      </c>
      <c r="T25" s="194">
        <f>T24-2</f>
        <v>1113</v>
      </c>
      <c r="U25" s="166" t="s">
        <v>4473</v>
      </c>
      <c r="V25" s="166">
        <v>160.19999999999999</v>
      </c>
      <c r="W25" s="166">
        <f t="shared" si="7"/>
        <v>299.41511671232877</v>
      </c>
      <c r="X25" s="32">
        <f t="shared" si="8"/>
        <v>305.40341904657532</v>
      </c>
      <c r="Y25" s="32">
        <f t="shared" si="9"/>
        <v>311.39172138082193</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1085</v>
      </c>
      <c r="U26" s="166" t="s">
        <v>4547</v>
      </c>
      <c r="V26" s="166">
        <v>172.2</v>
      </c>
      <c r="W26" s="166">
        <f t="shared" si="7"/>
        <v>318.14445369863012</v>
      </c>
      <c r="X26" s="32">
        <f t="shared" si="8"/>
        <v>324.50734277260273</v>
      </c>
      <c r="Y26" s="32">
        <f t="shared" si="9"/>
        <v>330.87023184657534</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1052</v>
      </c>
      <c r="U27" s="206" t="s">
        <v>4641</v>
      </c>
      <c r="V27" s="206">
        <v>168.8</v>
      </c>
      <c r="W27" s="206">
        <f t="shared" si="7"/>
        <v>307.58967232876711</v>
      </c>
      <c r="X27" s="32">
        <f t="shared" ref="X27:X30" si="14">W27*(1+$X$19/100)</f>
        <v>313.74146577534248</v>
      </c>
      <c r="Y27" s="32">
        <f t="shared" ref="Y27:Y30" si="15">W27*(1+$Y$19/100)</f>
        <v>319.89325922191779</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3715520420</v>
      </c>
      <c r="O28" s="97">
        <v>2544877</v>
      </c>
      <c r="P28" s="183">
        <f>P51</f>
        <v>1460</v>
      </c>
      <c r="Q28" s="67">
        <f t="shared" si="6"/>
        <v>1.5274034440501378E-6</v>
      </c>
      <c r="R28" s="167">
        <v>1204691</v>
      </c>
      <c r="S28" s="206" t="s">
        <v>4844</v>
      </c>
      <c r="T28" s="194">
        <f>T27-76</f>
        <v>976</v>
      </c>
      <c r="U28" s="206" t="s">
        <v>4845</v>
      </c>
      <c r="V28" s="206">
        <v>218.5</v>
      </c>
      <c r="W28" s="206">
        <f t="shared" si="7"/>
        <v>385.41484383561641</v>
      </c>
      <c r="X28" s="32">
        <f t="shared" si="14"/>
        <v>393.12314071232873</v>
      </c>
      <c r="Y28" s="32">
        <f t="shared" si="15"/>
        <v>400.83143758904106</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220743209</v>
      </c>
      <c r="O29" s="97">
        <v>485470</v>
      </c>
      <c r="P29" s="183">
        <f>P54</f>
        <v>454.7</v>
      </c>
      <c r="Q29" s="67" t="e">
        <f>#REF!*100/$S$188</f>
        <v>#REF!</v>
      </c>
      <c r="R29" s="167">
        <v>15011877</v>
      </c>
      <c r="S29" s="206" t="s">
        <v>4847</v>
      </c>
      <c r="T29" s="194">
        <f>T28-3</f>
        <v>973</v>
      </c>
      <c r="U29" s="206" t="s">
        <v>4851</v>
      </c>
      <c r="V29" s="206">
        <v>197.1</v>
      </c>
      <c r="W29" s="206">
        <f t="shared" si="7"/>
        <v>347.21351999999996</v>
      </c>
      <c r="X29" s="32">
        <f t="shared" si="14"/>
        <v>354.15779039999995</v>
      </c>
      <c r="Y29" s="32">
        <f t="shared" si="15"/>
        <v>361.10206079999995</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N35*100/$S$188</f>
        <v>0.34025664567193287</v>
      </c>
      <c r="R30" s="167">
        <v>7046042.5001907032</v>
      </c>
      <c r="S30" s="206" t="s">
        <v>4858</v>
      </c>
      <c r="T30" s="194">
        <f>T29-5</f>
        <v>968</v>
      </c>
      <c r="U30" s="206" t="s">
        <v>5557</v>
      </c>
      <c r="V30" s="206">
        <v>194.4</v>
      </c>
      <c r="W30" s="206">
        <f t="shared" si="7"/>
        <v>341.71152657534253</v>
      </c>
      <c r="X30" s="32">
        <f t="shared" si="14"/>
        <v>348.54575710684941</v>
      </c>
      <c r="Y30" s="32">
        <f t="shared" si="15"/>
        <v>355.37998763835623</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#REF!*100/$S$188</f>
        <v>#REF!</v>
      </c>
      <c r="R31" s="167">
        <v>5368238</v>
      </c>
      <c r="S31" s="206" t="s">
        <v>5563</v>
      </c>
      <c r="T31" s="194">
        <f>T30-465</f>
        <v>503</v>
      </c>
      <c r="U31" s="206" t="s">
        <v>5564</v>
      </c>
      <c r="V31" s="206">
        <v>1843</v>
      </c>
      <c r="W31" s="206">
        <f t="shared" si="7"/>
        <v>2582.1591342465754</v>
      </c>
      <c r="X31" s="32">
        <f t="shared" ref="X31:X34" si="16">W31*(1+$X$19/100)</f>
        <v>2633.802316931507</v>
      </c>
      <c r="Y31" s="32">
        <f t="shared" ref="Y31:Y34" si="17">W31*(1+$Y$19/100)</f>
        <v>2685.4454996164386</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#REF!*100/$S$188</f>
        <v>#REF!</v>
      </c>
      <c r="R32" s="167">
        <v>40195775</v>
      </c>
      <c r="S32" s="206" t="s">
        <v>5565</v>
      </c>
      <c r="T32" s="194">
        <f>T31-3</f>
        <v>500</v>
      </c>
      <c r="U32" s="206" t="s">
        <v>5566</v>
      </c>
      <c r="V32" s="206">
        <v>1751</v>
      </c>
      <c r="W32" s="206">
        <f t="shared" si="7"/>
        <v>2449.2316383561647</v>
      </c>
      <c r="X32" s="32">
        <f t="shared" si="16"/>
        <v>2498.2162711232882</v>
      </c>
      <c r="Y32" s="32">
        <f t="shared" si="17"/>
        <v>2547.2009038904112</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N36*100/$S$188</f>
        <v>4.0902192221975415</v>
      </c>
      <c r="R33" s="167">
        <v>16176504</v>
      </c>
      <c r="S33" s="206" t="s">
        <v>5567</v>
      </c>
      <c r="T33" s="194">
        <f>T32-1</f>
        <v>499</v>
      </c>
      <c r="U33" s="206" t="s">
        <v>5568</v>
      </c>
      <c r="V33" s="206">
        <v>1730</v>
      </c>
      <c r="W33" s="206">
        <f t="shared" si="7"/>
        <v>2418.5305205479453</v>
      </c>
      <c r="X33" s="32">
        <f t="shared" si="16"/>
        <v>2466.9011309589041</v>
      </c>
      <c r="Y33" s="32">
        <f t="shared" si="17"/>
        <v>2515.2717413698633</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-X166</f>
        <v>57219162.531769276</v>
      </c>
      <c r="M34" s="187" t="s">
        <v>4415</v>
      </c>
      <c r="N34" s="111">
        <v>169</v>
      </c>
      <c r="O34" s="253"/>
      <c r="P34" s="97" t="s">
        <v>25</v>
      </c>
      <c r="Q34" s="67"/>
      <c r="R34" s="167">
        <v>47880291</v>
      </c>
      <c r="S34" s="206" t="s">
        <v>5574</v>
      </c>
      <c r="T34" s="194">
        <f>T33-8</f>
        <v>491</v>
      </c>
      <c r="U34" s="206" t="s">
        <v>5578</v>
      </c>
      <c r="V34" s="206">
        <v>1737.1</v>
      </c>
      <c r="W34" s="206">
        <f t="shared" si="7"/>
        <v>2417.795722739726</v>
      </c>
      <c r="X34" s="32">
        <f t="shared" si="16"/>
        <v>2466.1516371945204</v>
      </c>
      <c r="Y34" s="32">
        <f t="shared" si="17"/>
        <v>2514.5075516493152</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37647795.899999999</v>
      </c>
      <c r="O35" s="67">
        <v>82797</v>
      </c>
      <c r="P35" s="97">
        <f>P54</f>
        <v>454.7</v>
      </c>
      <c r="Q35" s="67"/>
      <c r="R35" s="167">
        <v>48859908</v>
      </c>
      <c r="S35" s="206" t="s">
        <v>5577</v>
      </c>
      <c r="T35" s="194">
        <f>T34-1</f>
        <v>490</v>
      </c>
      <c r="U35" s="206" t="s">
        <v>5581</v>
      </c>
      <c r="V35" s="206">
        <v>1730.1</v>
      </c>
      <c r="W35" s="206">
        <f t="shared" si="7"/>
        <v>2406.72552</v>
      </c>
      <c r="X35" s="32">
        <f t="shared" ref="X35:X36" si="18">W35*(1+$X$19/100)</f>
        <v>2454.8600304000001</v>
      </c>
      <c r="Y35" s="32">
        <f t="shared" ref="Y35:Y36" si="19">W35*(1+$Y$19/100)</f>
        <v>2502.9945407999999</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452563500</v>
      </c>
      <c r="O36" s="67">
        <v>309975</v>
      </c>
      <c r="P36" s="97">
        <f>P51</f>
        <v>1460</v>
      </c>
      <c r="Q36" s="67"/>
      <c r="R36" s="167">
        <v>38191823</v>
      </c>
      <c r="S36" s="206" t="s">
        <v>5579</v>
      </c>
      <c r="T36" s="194">
        <f>T35-1</f>
        <v>489</v>
      </c>
      <c r="U36" s="206" t="s">
        <v>5580</v>
      </c>
      <c r="V36" s="206">
        <v>1646</v>
      </c>
      <c r="W36" s="206">
        <f t="shared" si="7"/>
        <v>2288.4721315068496</v>
      </c>
      <c r="X36" s="32">
        <f t="shared" si="18"/>
        <v>2334.2415741369864</v>
      </c>
      <c r="Y36" s="32">
        <f t="shared" si="19"/>
        <v>2380.0110167671237</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486</v>
      </c>
      <c r="U37" s="206" t="s">
        <v>5586</v>
      </c>
      <c r="V37" s="206">
        <v>1674.7</v>
      </c>
      <c r="W37" s="206">
        <f t="shared" si="7"/>
        <v>2324.520305753425</v>
      </c>
      <c r="X37" s="32">
        <f t="shared" ref="X37:X40" si="20">W37*(1+$X$19/100)</f>
        <v>2371.0107118684937</v>
      </c>
      <c r="Y37" s="32">
        <f t="shared" ref="Y37:Y40" si="21">W37*(1+$Y$19/100)</f>
        <v>2417.5011179835619</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484</v>
      </c>
      <c r="U38" s="206" t="s">
        <v>5585</v>
      </c>
      <c r="V38" s="206">
        <v>1663</v>
      </c>
      <c r="W38" s="206">
        <f t="shared" si="7"/>
        <v>2305.7289972602744</v>
      </c>
      <c r="X38" s="32">
        <f t="shared" si="20"/>
        <v>2351.84357720548</v>
      </c>
      <c r="Y38" s="32">
        <f t="shared" si="21"/>
        <v>2397.9581571506856</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483</v>
      </c>
      <c r="U39" s="206" t="s">
        <v>5592</v>
      </c>
      <c r="V39" s="206">
        <v>1580</v>
      </c>
      <c r="W39" s="206">
        <f t="shared" si="7"/>
        <v>2189.4384657534251</v>
      </c>
      <c r="X39" s="32">
        <f t="shared" si="20"/>
        <v>2233.2272350684939</v>
      </c>
      <c r="Y39" s="32">
        <f t="shared" si="21"/>
        <v>2277.0160043835622</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O28+10295</f>
        <v>2555172</v>
      </c>
      <c r="P40" t="s">
        <v>25</v>
      </c>
      <c r="Q40" s="67"/>
      <c r="R40" s="167">
        <v>563902380</v>
      </c>
      <c r="S40" s="206" t="s">
        <v>5594</v>
      </c>
      <c r="T40" s="194">
        <f>T39-5</f>
        <v>478</v>
      </c>
      <c r="U40" s="206" t="s">
        <v>5596</v>
      </c>
      <c r="V40" s="206">
        <v>1560.1</v>
      </c>
      <c r="W40" s="206">
        <f t="shared" si="7"/>
        <v>2155.8786816438355</v>
      </c>
      <c r="X40" s="32">
        <f t="shared" si="20"/>
        <v>2198.9962552767124</v>
      </c>
      <c r="Y40" s="32">
        <f t="shared" si="21"/>
        <v>2242.1138289095888</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O29-31680</f>
        <v>453790</v>
      </c>
      <c r="P41" t="s">
        <v>25</v>
      </c>
      <c r="Q41" s="67"/>
      <c r="R41" s="167">
        <v>814638349</v>
      </c>
      <c r="S41" s="206" t="s">
        <v>5601</v>
      </c>
      <c r="T41" s="194">
        <f>T40-8</f>
        <v>470</v>
      </c>
      <c r="U41" s="206" t="s">
        <v>5602</v>
      </c>
      <c r="V41" s="206">
        <v>1667</v>
      </c>
      <c r="W41" s="206">
        <f t="shared" si="7"/>
        <v>2293.3718246575345</v>
      </c>
      <c r="X41" s="32">
        <f t="shared" ref="X41:X42" si="22">W41*(1+$X$19/100)</f>
        <v>2339.2392611506853</v>
      </c>
      <c r="Y41" s="32">
        <f t="shared" ref="Y41:Y42" si="23">W41*(1+$Y$19/100)</f>
        <v>2385.106697643836</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465</v>
      </c>
      <c r="U42" s="206" t="s">
        <v>5617</v>
      </c>
      <c r="V42" s="206">
        <v>1768.2</v>
      </c>
      <c r="W42" s="206">
        <f t="shared" si="7"/>
        <v>2425.8153797260275</v>
      </c>
      <c r="X42" s="32">
        <f t="shared" si="22"/>
        <v>2474.3316873205481</v>
      </c>
      <c r="Y42" s="32">
        <f t="shared" si="23"/>
        <v>2522.8479949150687</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462</v>
      </c>
      <c r="U43" s="206" t="s">
        <v>5632</v>
      </c>
      <c r="V43" s="206">
        <v>1582.3</v>
      </c>
      <c r="W43" s="206">
        <f t="shared" si="7"/>
        <v>2167.1354202739726</v>
      </c>
      <c r="X43" s="32">
        <f t="shared" ref="X43:X44" si="24">W43*(1+$X$19/100)</f>
        <v>2210.4781286794523</v>
      </c>
      <c r="Y43" s="32">
        <f t="shared" ref="Y43:Y44" si="25">W43*(1+$Y$19/100)</f>
        <v>2253.8208370849316</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-45000000</v>
      </c>
      <c r="M44" s="166" t="s">
        <v>6622</v>
      </c>
      <c r="N44" s="111">
        <v>-14000000</v>
      </c>
      <c r="O44" t="s">
        <v>25</v>
      </c>
      <c r="P44" t="s">
        <v>25</v>
      </c>
      <c r="Q44" s="67">
        <f t="shared" ref="Q44:Q54" si="26">N47*100/$S$188</f>
        <v>5.6034919249176646E-7</v>
      </c>
      <c r="R44" s="167">
        <v>23400057</v>
      </c>
      <c r="S44" s="206" t="s">
        <v>5629</v>
      </c>
      <c r="T44" s="194">
        <f>T43-1</f>
        <v>461</v>
      </c>
      <c r="U44" s="206" t="s">
        <v>5633</v>
      </c>
      <c r="V44" s="206">
        <v>1610.6</v>
      </c>
      <c r="W44" s="206">
        <f t="shared" si="7"/>
        <v>2204.6598816438359</v>
      </c>
      <c r="X44" s="32">
        <f t="shared" si="24"/>
        <v>2248.7530792767125</v>
      </c>
      <c r="Y44" s="32">
        <f t="shared" si="25"/>
        <v>2292.8462769095895</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457</v>
      </c>
      <c r="U45" s="206" t="s">
        <v>5636</v>
      </c>
      <c r="V45" s="206">
        <v>1582</v>
      </c>
      <c r="W45" s="206">
        <f t="shared" si="7"/>
        <v>2160.6565917808221</v>
      </c>
      <c r="X45" s="32">
        <f t="shared" ref="X45:X46" si="27">W45*(1+$X$19/100)</f>
        <v>2203.8697236164385</v>
      </c>
      <c r="Y45" s="32">
        <f t="shared" ref="Y45:Y46" si="28">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456</v>
      </c>
      <c r="U46" s="206" t="s">
        <v>5638</v>
      </c>
      <c r="V46" s="206">
        <v>1530</v>
      </c>
      <c r="W46" s="206">
        <f t="shared" si="7"/>
        <v>2088.4625753424662</v>
      </c>
      <c r="X46" s="32">
        <f t="shared" si="27"/>
        <v>2130.2318268493154</v>
      </c>
      <c r="Y46" s="32">
        <f t="shared" si="28"/>
        <v>2172.0010783561647</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454</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7083</v>
      </c>
      <c r="L48" s="115">
        <v>25000000</v>
      </c>
      <c r="M48" s="166" t="s">
        <v>6464</v>
      </c>
      <c r="N48" s="111">
        <f>O48*P48</f>
        <v>0</v>
      </c>
      <c r="O48" s="97">
        <v>0</v>
      </c>
      <c r="P48" s="97">
        <v>1</v>
      </c>
      <c r="Q48" s="67">
        <f t="shared" si="26"/>
        <v>39.549170531175541</v>
      </c>
      <c r="R48" s="167"/>
      <c r="S48" s="206" t="s">
        <v>5656</v>
      </c>
      <c r="T48" s="194">
        <f>T47-19</f>
        <v>435</v>
      </c>
      <c r="U48" s="206" t="s">
        <v>5657</v>
      </c>
      <c r="V48" s="206">
        <v>1160</v>
      </c>
      <c r="W48" s="206">
        <f t="shared" si="7"/>
        <v>1564.7224109589042</v>
      </c>
      <c r="X48" s="32">
        <f t="shared" si="29"/>
        <v>1596.0168591780823</v>
      </c>
      <c r="Y48" s="32">
        <f t="shared" si="30"/>
        <v>1627.3113073972604</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434</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433</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4375929520</v>
      </c>
      <c r="O51" s="97">
        <v>2997212</v>
      </c>
      <c r="P51" s="97">
        <v>1460</v>
      </c>
      <c r="Q51" s="67">
        <f t="shared" si="26"/>
        <v>20.709591679074169</v>
      </c>
      <c r="R51" s="167"/>
      <c r="S51" s="206" t="s">
        <v>5662</v>
      </c>
      <c r="T51" s="194">
        <f>T50-3</f>
        <v>430</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-24860000</v>
      </c>
      <c r="M52" s="19" t="s">
        <v>5846</v>
      </c>
      <c r="N52" s="111">
        <f>O52*P52</f>
        <v>0</v>
      </c>
      <c r="O52" s="97">
        <v>0</v>
      </c>
      <c r="P52" s="97">
        <v>3420</v>
      </c>
      <c r="Q52" s="67">
        <f t="shared" si="26"/>
        <v>0</v>
      </c>
      <c r="R52" s="167"/>
      <c r="S52" s="206" t="s">
        <v>5665</v>
      </c>
      <c r="T52" s="194">
        <f>T51-2</f>
        <v>428</v>
      </c>
      <c r="U52" s="206" t="s">
        <v>5666</v>
      </c>
      <c r="V52" s="206"/>
      <c r="W52" s="206">
        <f t="shared" ref="W52:W83" si="32">V52*(1+$S$108+$R$15*T52/36500)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421</v>
      </c>
      <c r="U53" s="206" t="s">
        <v>6459</v>
      </c>
      <c r="V53" s="206">
        <v>1100</v>
      </c>
      <c r="W53" s="206">
        <f t="shared" si="32"/>
        <v>1471.9747945205481</v>
      </c>
      <c r="X53" s="32">
        <f t="shared" si="29"/>
        <v>1501.4142904109592</v>
      </c>
      <c r="Y53" s="32">
        <f t="shared" si="30"/>
        <v>1530.8537863013701</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2291418817.5999999</v>
      </c>
      <c r="O54" s="97">
        <v>5039408</v>
      </c>
      <c r="P54" s="97">
        <v>454.7</v>
      </c>
      <c r="Q54" s="67">
        <f t="shared" si="26"/>
        <v>0</v>
      </c>
      <c r="R54" s="167"/>
      <c r="S54" s="206" t="s">
        <v>963</v>
      </c>
      <c r="T54" s="284">
        <f>T53-20</f>
        <v>401</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379</v>
      </c>
      <c r="U55" s="206" t="s">
        <v>6975</v>
      </c>
      <c r="V55" s="206">
        <v>1302</v>
      </c>
      <c r="W55" s="206">
        <f t="shared" si="32"/>
        <v>1700.3335232876711</v>
      </c>
      <c r="X55" s="32">
        <f t="shared" si="29"/>
        <v>1734.3401937534245</v>
      </c>
      <c r="Y55" s="32">
        <f t="shared" si="30"/>
        <v>1768.3468642191781</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1243000</v>
      </c>
      <c r="R56" s="167"/>
      <c r="S56" s="206" t="s">
        <v>6458</v>
      </c>
      <c r="T56" s="194">
        <f>T55-196</f>
        <v>183</v>
      </c>
      <c r="U56" s="206" t="s">
        <v>6460</v>
      </c>
      <c r="V56" s="206">
        <v>1343</v>
      </c>
      <c r="W56" s="206">
        <f t="shared" si="32"/>
        <v>1551.9487232876713</v>
      </c>
      <c r="X56" s="32">
        <f t="shared" ref="X56:X61" si="33">W56*(1+$X$19/100)</f>
        <v>1582.9876977534248</v>
      </c>
      <c r="Y56" s="32">
        <f t="shared" ref="Y56:Y61" si="34">W56*(1+$Y$19/100)</f>
        <v>1614.0266722191782</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182</v>
      </c>
      <c r="U57" s="206" t="s">
        <v>6462</v>
      </c>
      <c r="V57" s="206">
        <v>1350.4</v>
      </c>
      <c r="W57" s="206">
        <f t="shared" si="32"/>
        <v>1559.4641183561646</v>
      </c>
      <c r="X57" s="32">
        <f t="shared" si="33"/>
        <v>1590.6534007232879</v>
      </c>
      <c r="Y57" s="32">
        <f t="shared" si="34"/>
        <v>1621.8426830904111</v>
      </c>
      <c r="Z57" s="120"/>
      <c r="AA57" s="120">
        <v>48370</v>
      </c>
      <c r="AB57" s="464">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178</v>
      </c>
      <c r="U58" s="206" t="s">
        <v>6466</v>
      </c>
      <c r="V58" s="206">
        <v>1350.3</v>
      </c>
      <c r="W58" s="206">
        <f t="shared" si="32"/>
        <v>1555.205250410959</v>
      </c>
      <c r="X58" s="32">
        <f t="shared" si="33"/>
        <v>1586.3093554191782</v>
      </c>
      <c r="Y58" s="32">
        <f t="shared" si="34"/>
        <v>1617.4134604273975</v>
      </c>
      <c r="Z58" s="120"/>
      <c r="AA58" s="120">
        <v>8875</v>
      </c>
      <c r="AB58" s="464">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177</v>
      </c>
      <c r="U59" s="206" t="s">
        <v>6475</v>
      </c>
      <c r="V59" s="206">
        <v>1375.2</v>
      </c>
      <c r="W59" s="206">
        <f t="shared" si="32"/>
        <v>1582.8288263013701</v>
      </c>
      <c r="X59" s="32">
        <f t="shared" si="33"/>
        <v>1614.4854028273976</v>
      </c>
      <c r="Y59" s="32">
        <f t="shared" si="34"/>
        <v>1646.1419793534249</v>
      </c>
      <c r="Z59" s="120"/>
      <c r="AA59" s="120">
        <v>26514</v>
      </c>
      <c r="AB59" s="464">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O51+20346</f>
        <v>3017558</v>
      </c>
      <c r="P60" s="113"/>
      <c r="R60" s="167"/>
      <c r="S60" s="206" t="s">
        <v>6478</v>
      </c>
      <c r="T60" s="194">
        <f>T59-1</f>
        <v>176</v>
      </c>
      <c r="U60" s="206" t="s">
        <v>6479</v>
      </c>
      <c r="V60" s="206">
        <v>1406</v>
      </c>
      <c r="W60" s="206">
        <f t="shared" si="32"/>
        <v>1617.2004602739726</v>
      </c>
      <c r="X60" s="32">
        <f t="shared" si="33"/>
        <v>1649.5444694794521</v>
      </c>
      <c r="Y60" s="32">
        <f t="shared" si="34"/>
        <v>1681.8884786849314</v>
      </c>
      <c r="Z60" s="120"/>
      <c r="AA60" s="120">
        <v>19133</v>
      </c>
      <c r="AB60" s="464">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T112-1085</f>
        <v>115</v>
      </c>
      <c r="U61" s="206" t="s">
        <v>7079</v>
      </c>
      <c r="V61" s="206">
        <v>539</v>
      </c>
      <c r="W61" s="206">
        <f t="shared" si="32"/>
        <v>594.7429369863014</v>
      </c>
      <c r="X61" s="32">
        <f t="shared" si="33"/>
        <v>606.63779572602743</v>
      </c>
      <c r="Y61" s="32">
        <f t="shared" si="34"/>
        <v>618.53265446575347</v>
      </c>
      <c r="Z61" s="120"/>
      <c r="AA61" s="120"/>
      <c r="AB61" s="464">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T112-1138</f>
        <v>62</v>
      </c>
      <c r="U62" s="206" t="s">
        <v>6978</v>
      </c>
      <c r="V62" s="206">
        <v>1500</v>
      </c>
      <c r="W62" s="206">
        <f t="shared" si="32"/>
        <v>1594.1424657534246</v>
      </c>
      <c r="X62" s="32">
        <f t="shared" ref="X62:X75" si="36">W62*(1+$X$19/100)</f>
        <v>1626.0253150684932</v>
      </c>
      <c r="Y62" s="32">
        <f t="shared" ref="Y62:Y75" si="37">W62*(1+$Y$19/100)</f>
        <v>1657.9081643835616</v>
      </c>
      <c r="Z62" s="120">
        <v>65644</v>
      </c>
      <c r="AA62" s="120"/>
      <c r="AB62" s="433"/>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O54-66432</f>
        <v>4972976</v>
      </c>
      <c r="P63" t="s">
        <v>25</v>
      </c>
      <c r="R63" s="167"/>
      <c r="S63" s="206" t="s">
        <v>7029</v>
      </c>
      <c r="T63" s="194">
        <f>T112-1144</f>
        <v>56</v>
      </c>
      <c r="U63" s="206" t="s">
        <v>7030</v>
      </c>
      <c r="V63" s="206">
        <v>1590</v>
      </c>
      <c r="W63" s="206">
        <f t="shared" si="32"/>
        <v>1682.4726575342468</v>
      </c>
      <c r="X63" s="32">
        <f t="shared" si="36"/>
        <v>1716.1221106849318</v>
      </c>
      <c r="Y63" s="32">
        <f t="shared" si="37"/>
        <v>1749.7715638356167</v>
      </c>
      <c r="Z63" s="120">
        <v>101</v>
      </c>
      <c r="AA63" s="120"/>
      <c r="AB63" s="440"/>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-X159</f>
        <v>-124554380.6782742</v>
      </c>
      <c r="P64" t="s">
        <v>25</v>
      </c>
      <c r="R64" s="167"/>
      <c r="S64" s="206" t="s">
        <v>7059</v>
      </c>
      <c r="T64" s="194">
        <f>T112-1164</f>
        <v>36</v>
      </c>
      <c r="U64" s="206" t="s">
        <v>7060</v>
      </c>
      <c r="V64" s="206">
        <v>1420</v>
      </c>
      <c r="W64" s="206">
        <f t="shared" si="32"/>
        <v>1480.7993424657534</v>
      </c>
      <c r="X64" s="32">
        <f t="shared" si="36"/>
        <v>1510.4153293150684</v>
      </c>
      <c r="Y64" s="32">
        <f t="shared" si="37"/>
        <v>1540.0313161643835</v>
      </c>
      <c r="Z64" s="120">
        <v>126426</v>
      </c>
      <c r="AA64" s="120"/>
      <c r="AB64" s="440"/>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T112-1165</f>
        <v>35</v>
      </c>
      <c r="U65" s="206" t="s">
        <v>7071</v>
      </c>
      <c r="V65" s="206">
        <v>1437</v>
      </c>
      <c r="W65" s="206">
        <f t="shared" si="32"/>
        <v>1497.4248657534249</v>
      </c>
      <c r="X65" s="32">
        <f t="shared" si="36"/>
        <v>1527.3733630684935</v>
      </c>
      <c r="Y65" s="32">
        <f t="shared" si="37"/>
        <v>1557.3218603835619</v>
      </c>
      <c r="Z65" s="120">
        <v>105347</v>
      </c>
      <c r="AA65" s="120"/>
      <c r="AB65" s="440"/>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7072</v>
      </c>
      <c r="T66" s="194">
        <f>T112-1179</f>
        <v>21</v>
      </c>
      <c r="U66" s="206" t="s">
        <v>7073</v>
      </c>
      <c r="V66" s="206">
        <v>1423</v>
      </c>
      <c r="W66" s="206">
        <f t="shared" si="32"/>
        <v>1467.5535452054796</v>
      </c>
      <c r="X66" s="32">
        <f t="shared" si="36"/>
        <v>1496.9046161095891</v>
      </c>
      <c r="Y66" s="32">
        <f t="shared" si="37"/>
        <v>1526.2556870136989</v>
      </c>
      <c r="Z66" s="120">
        <v>7440</v>
      </c>
      <c r="AA66" s="120"/>
      <c r="AB66" s="468"/>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11453152649.221725</v>
      </c>
      <c r="P67" t="s">
        <v>25</v>
      </c>
      <c r="Q67" s="120"/>
      <c r="R67" s="167"/>
      <c r="S67" s="206" t="s">
        <v>7074</v>
      </c>
      <c r="T67" s="194">
        <f>T112-1183</f>
        <v>17</v>
      </c>
      <c r="U67" s="206" t="s">
        <v>7076</v>
      </c>
      <c r="V67" s="206">
        <v>1426</v>
      </c>
      <c r="W67" s="206">
        <f t="shared" si="32"/>
        <v>1466.2718027397264</v>
      </c>
      <c r="X67" s="32">
        <f t="shared" si="36"/>
        <v>1495.597238794521</v>
      </c>
      <c r="Y67" s="32">
        <f t="shared" si="37"/>
        <v>1524.9226748493154</v>
      </c>
      <c r="Z67" s="120">
        <v>25287</v>
      </c>
      <c r="AA67" s="120"/>
      <c r="AB67" s="468"/>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37071997.531769276</v>
      </c>
      <c r="M68" s="166"/>
      <c r="N68" s="111">
        <f>N16+N17+N40</f>
        <v>141053</v>
      </c>
      <c r="P68" t="s">
        <v>25</v>
      </c>
      <c r="R68" s="167"/>
      <c r="S68" s="206" t="s">
        <v>7080</v>
      </c>
      <c r="T68" s="194">
        <f>T112-1185</f>
        <v>15</v>
      </c>
      <c r="U68" s="206" t="s">
        <v>7109</v>
      </c>
      <c r="V68" s="206">
        <v>432</v>
      </c>
      <c r="W68" s="206">
        <f t="shared" si="32"/>
        <v>443.53735890410962</v>
      </c>
      <c r="X68" s="32">
        <f t="shared" si="36"/>
        <v>452.40810608219181</v>
      </c>
      <c r="Y68" s="32">
        <f t="shared" si="37"/>
        <v>461.27885326027405</v>
      </c>
      <c r="Z68" s="120"/>
      <c r="AA68" s="120"/>
      <c r="AB68" s="470">
        <v>140597</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61925534.531769276</v>
      </c>
      <c r="M69" s="111"/>
      <c r="N69" s="166"/>
      <c r="O69" s="113"/>
      <c r="P69" s="113" t="s">
        <v>25</v>
      </c>
      <c r="Q69" s="113"/>
      <c r="R69" s="167"/>
      <c r="S69" s="206" t="s">
        <v>7088</v>
      </c>
      <c r="T69" s="194">
        <f>T112-1190</f>
        <v>10</v>
      </c>
      <c r="U69" s="206" t="s">
        <v>7089</v>
      </c>
      <c r="V69" s="206">
        <v>1536</v>
      </c>
      <c r="W69" s="206">
        <f t="shared" si="32"/>
        <v>1571.1302136986303</v>
      </c>
      <c r="X69" s="32">
        <f t="shared" si="36"/>
        <v>1602.552817972603</v>
      </c>
      <c r="Y69" s="32">
        <f t="shared" si="37"/>
        <v>1633.9754222465756</v>
      </c>
      <c r="Z69" s="120">
        <v>9946</v>
      </c>
      <c r="AA69" s="120"/>
      <c r="AB69" s="471"/>
      <c r="AD69" s="94"/>
      <c r="AI69" s="20">
        <v>49</v>
      </c>
      <c r="AJ69" s="115" t="s">
        <v>4129</v>
      </c>
      <c r="AK69" s="115">
        <v>33500000</v>
      </c>
      <c r="AL69" s="20">
        <v>1</v>
      </c>
      <c r="AM69" s="97">
        <f t="shared" si="38"/>
        <v>1080</v>
      </c>
      <c r="AN69" s="111">
        <f t="shared" si="11"/>
        <v>36180000000</v>
      </c>
      <c r="AO69" s="20"/>
    </row>
    <row r="70" spans="1:41">
      <c r="G70" t="s">
        <v>4082</v>
      </c>
      <c r="K70" s="54" t="s">
        <v>708</v>
      </c>
      <c r="L70" s="111">
        <f>L68+N7</f>
        <v>137071997.53176928</v>
      </c>
      <c r="O70" s="94"/>
      <c r="P70" s="120" t="s">
        <v>25</v>
      </c>
      <c r="Q70" s="113"/>
      <c r="R70" s="167"/>
      <c r="S70" s="206" t="s">
        <v>7092</v>
      </c>
      <c r="T70" s="194">
        <f>T112-1191</f>
        <v>9</v>
      </c>
      <c r="U70" s="206" t="s">
        <v>7093</v>
      </c>
      <c r="V70" s="206">
        <v>1552</v>
      </c>
      <c r="W70" s="206">
        <f t="shared" si="32"/>
        <v>1586.3055780821921</v>
      </c>
      <c r="X70" s="32">
        <f t="shared" si="36"/>
        <v>1618.031689643836</v>
      </c>
      <c r="Y70" s="32">
        <f t="shared" si="37"/>
        <v>1649.7578012054798</v>
      </c>
      <c r="Z70" s="120">
        <v>128722</v>
      </c>
      <c r="AA70" s="120"/>
      <c r="AB70" s="473"/>
      <c r="AI70" s="20">
        <v>50</v>
      </c>
      <c r="AJ70" s="115" t="s">
        <v>4134</v>
      </c>
      <c r="AK70" s="115">
        <v>12000000</v>
      </c>
      <c r="AL70" s="20">
        <v>1</v>
      </c>
      <c r="AM70" s="97">
        <f t="shared" si="38"/>
        <v>1079</v>
      </c>
      <c r="AN70" s="115">
        <f t="shared" si="11"/>
        <v>12948000000</v>
      </c>
      <c r="AO70" s="20"/>
    </row>
    <row r="71" spans="1:41">
      <c r="G71" t="s">
        <v>4083</v>
      </c>
      <c r="M71" s="25"/>
      <c r="O71" t="s">
        <v>25</v>
      </c>
      <c r="R71" s="167"/>
      <c r="S71" s="206" t="s">
        <v>7095</v>
      </c>
      <c r="T71" s="194">
        <f>T112-1192</f>
        <v>8</v>
      </c>
      <c r="U71" s="206" t="s">
        <v>7096</v>
      </c>
      <c r="V71" s="206">
        <v>1532</v>
      </c>
      <c r="W71" s="206">
        <f t="shared" si="32"/>
        <v>1564.6882630136988</v>
      </c>
      <c r="X71" s="32">
        <f t="shared" si="36"/>
        <v>1595.9820282739729</v>
      </c>
      <c r="Y71" s="32">
        <f t="shared" si="37"/>
        <v>1627.2757935342468</v>
      </c>
      <c r="Z71" s="120">
        <v>2970</v>
      </c>
      <c r="AA71" s="120"/>
      <c r="AB71" s="474"/>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7108</v>
      </c>
      <c r="T72" s="194">
        <f>T112-1196</f>
        <v>4</v>
      </c>
      <c r="U72" s="206" t="s">
        <v>7114</v>
      </c>
      <c r="V72" s="206">
        <v>1495</v>
      </c>
      <c r="W72" s="206">
        <f t="shared" si="32"/>
        <v>1522.3113972602744</v>
      </c>
      <c r="X72" s="32">
        <f t="shared" si="36"/>
        <v>1552.7576252054798</v>
      </c>
      <c r="Y72" s="32">
        <f t="shared" si="37"/>
        <v>1583.2038531506853</v>
      </c>
      <c r="Z72" s="120">
        <v>10860</v>
      </c>
      <c r="AA72" s="120"/>
      <c r="AB72" s="474"/>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t="s">
        <v>7117</v>
      </c>
      <c r="T73" s="194">
        <f>T112-1200</f>
        <v>0</v>
      </c>
      <c r="U73" s="206" t="s">
        <v>7119</v>
      </c>
      <c r="V73" s="206">
        <v>1455</v>
      </c>
      <c r="W73" s="206">
        <f t="shared" si="32"/>
        <v>1477.1160000000002</v>
      </c>
      <c r="X73" s="32">
        <f t="shared" si="36"/>
        <v>1506.6583200000002</v>
      </c>
      <c r="Y73" s="32">
        <f t="shared" si="37"/>
        <v>1536.2006400000002</v>
      </c>
      <c r="Z73" s="120">
        <v>10295</v>
      </c>
      <c r="AA73" s="120"/>
      <c r="AB73" s="483"/>
      <c r="AI73" s="177">
        <v>53</v>
      </c>
      <c r="AJ73" s="178" t="s">
        <v>4149</v>
      </c>
      <c r="AK73" s="178">
        <v>29000000</v>
      </c>
      <c r="AL73" s="177">
        <v>15</v>
      </c>
      <c r="AM73" s="177">
        <f t="shared" si="38"/>
        <v>1073</v>
      </c>
      <c r="AN73" s="178">
        <f t="shared" si="11"/>
        <v>31117000000</v>
      </c>
      <c r="AO73" s="177" t="s">
        <v>4159</v>
      </c>
    </row>
    <row r="74" spans="1:41">
      <c r="M74" s="94"/>
      <c r="N74" s="94"/>
      <c r="O74" s="120" t="s">
        <v>6381</v>
      </c>
      <c r="R74" s="167"/>
      <c r="S74" s="206"/>
      <c r="T74" s="194"/>
      <c r="U74" s="206"/>
      <c r="V74" s="206"/>
      <c r="W74" s="206"/>
      <c r="X74" s="32"/>
      <c r="Y74" s="32"/>
      <c r="Z74" s="120"/>
      <c r="AA74" s="120"/>
      <c r="AB74" s="470"/>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t="s">
        <v>25</v>
      </c>
      <c r="S75" s="166" t="s">
        <v>25</v>
      </c>
      <c r="T75" s="166" t="s">
        <v>25</v>
      </c>
      <c r="U75" s="166" t="s">
        <v>25</v>
      </c>
      <c r="V75" s="166"/>
      <c r="W75" s="206" t="e">
        <f>V75*(1+$S$108+$R$15*T75/36500)</f>
        <v>#VALUE!</v>
      </c>
      <c r="X75" s="32" t="e">
        <f t="shared" si="36"/>
        <v>#VALUE!</v>
      </c>
      <c r="Y75" s="32" t="e">
        <f t="shared" si="37"/>
        <v>#VALUE!</v>
      </c>
      <c r="Z75" s="120"/>
      <c r="AA75" s="120" t="s">
        <v>25</v>
      </c>
      <c r="AB75" s="94"/>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167">
        <f>SUM(N28:N31)-SUM(R20:R75)</f>
        <v>2134019280.6758094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1"/>
        <v>-11890200000</v>
      </c>
      <c r="AO78" s="20"/>
    </row>
    <row r="79" spans="1:41" ht="46.5">
      <c r="D79" s="1" t="s">
        <v>306</v>
      </c>
      <c r="E79" s="1">
        <v>80000</v>
      </c>
      <c r="G79" s="94"/>
      <c r="H79" s="94"/>
      <c r="K79" s="205" t="s">
        <v>4652</v>
      </c>
      <c r="L79" s="22" t="s">
        <v>4631</v>
      </c>
      <c r="M79" s="239" t="s">
        <v>4917</v>
      </c>
      <c r="N79" s="94"/>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4653</v>
      </c>
      <c r="M80" s="120"/>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863944</v>
      </c>
      <c r="S82" s="166" t="s">
        <v>4394</v>
      </c>
      <c r="T82" s="166">
        <f>T81-62</f>
        <v>1138</v>
      </c>
      <c r="U82" s="188" t="s">
        <v>4453</v>
      </c>
      <c r="V82" s="166">
        <v>184.6</v>
      </c>
      <c r="W82" s="166">
        <f t="shared" ref="W82:W99" si="40">V82*(1+$S$108+$R$15*T82/36500)</f>
        <v>348.55919123287669</v>
      </c>
      <c r="X82" s="32">
        <f t="shared" ref="X82:X89" si="41">W82*(1+$X$19/100)</f>
        <v>355.53037505753423</v>
      </c>
      <c r="Y82" s="32">
        <f t="shared" ref="Y82:Y89" si="42">W82*(1+$Y$19/100)</f>
        <v>362.50155888219177</v>
      </c>
      <c r="Z82" s="94">
        <v>4661</v>
      </c>
      <c r="AB82" s="113"/>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1692313</v>
      </c>
      <c r="S83" s="166" t="s">
        <v>4456</v>
      </c>
      <c r="T83" s="194">
        <f>T82-21</f>
        <v>1117</v>
      </c>
      <c r="U83" s="187" t="s">
        <v>4457</v>
      </c>
      <c r="V83" s="166">
        <v>168.5</v>
      </c>
      <c r="W83" s="166">
        <f t="shared" si="40"/>
        <v>315.44492602739729</v>
      </c>
      <c r="X83" s="32">
        <f t="shared" si="41"/>
        <v>321.75382454794521</v>
      </c>
      <c r="Y83" s="32">
        <f t="shared" si="42"/>
        <v>328.0627230684932</v>
      </c>
      <c r="Z83" s="94">
        <v>10000</v>
      </c>
      <c r="AB83" s="113"/>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101153</v>
      </c>
      <c r="S84" s="166" t="s">
        <v>4459</v>
      </c>
      <c r="T84" s="194">
        <f>T83-1</f>
        <v>1116</v>
      </c>
      <c r="U84" s="187" t="s">
        <v>4461</v>
      </c>
      <c r="V84" s="166">
        <v>166.7</v>
      </c>
      <c r="W84" s="166">
        <f t="shared" si="40"/>
        <v>311.94730849315067</v>
      </c>
      <c r="X84" s="32">
        <f t="shared" si="41"/>
        <v>318.1862546630137</v>
      </c>
      <c r="Y84" s="32">
        <f t="shared" si="42"/>
        <v>324.42520083287673</v>
      </c>
      <c r="Z84" s="94">
        <v>604</v>
      </c>
      <c r="AB84" s="120" t="s">
        <v>25</v>
      </c>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183105</v>
      </c>
      <c r="S85" s="166" t="s">
        <v>4204</v>
      </c>
      <c r="T85" s="194">
        <f>T84-1</f>
        <v>1115</v>
      </c>
      <c r="U85" s="187" t="s">
        <v>4465</v>
      </c>
      <c r="V85" s="166">
        <v>166.6</v>
      </c>
      <c r="W85" s="166">
        <f t="shared" si="40"/>
        <v>311.63237479452056</v>
      </c>
      <c r="X85" s="32">
        <f t="shared" si="41"/>
        <v>317.86502229041099</v>
      </c>
      <c r="Y85" s="32">
        <f t="shared" si="42"/>
        <v>324.09766978630137</v>
      </c>
      <c r="Z85" s="94">
        <v>1094</v>
      </c>
      <c r="AB85" s="113" t="s">
        <v>25</v>
      </c>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168846</v>
      </c>
      <c r="S86" s="166" t="s">
        <v>3673</v>
      </c>
      <c r="T86" s="194">
        <f>T85-30</f>
        <v>1085</v>
      </c>
      <c r="U86" s="187" t="s">
        <v>4547</v>
      </c>
      <c r="V86" s="166">
        <v>172.2</v>
      </c>
      <c r="W86" s="166">
        <f t="shared" si="40"/>
        <v>318.14445369863012</v>
      </c>
      <c r="X86" s="32">
        <f t="shared" si="41"/>
        <v>324.50734277260273</v>
      </c>
      <c r="Y86" s="32">
        <f t="shared" si="42"/>
        <v>330.87023184657534</v>
      </c>
      <c r="Z86" s="94">
        <v>976</v>
      </c>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19918023</v>
      </c>
      <c r="S87" s="5" t="s">
        <v>4767</v>
      </c>
      <c r="T87" s="194">
        <f>T86-75</f>
        <v>1010</v>
      </c>
      <c r="U87" s="187" t="s">
        <v>4769</v>
      </c>
      <c r="V87" s="206">
        <v>183</v>
      </c>
      <c r="W87" s="206">
        <f t="shared" si="40"/>
        <v>327.56899726027399</v>
      </c>
      <c r="X87" s="32">
        <f t="shared" si="41"/>
        <v>334.12037720547949</v>
      </c>
      <c r="Y87" s="32">
        <f t="shared" si="42"/>
        <v>340.67175715068498</v>
      </c>
      <c r="Z87" s="94">
        <v>108344</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1200301</v>
      </c>
      <c r="S88" s="19" t="s">
        <v>4844</v>
      </c>
      <c r="T88" s="194">
        <f>T87-34</f>
        <v>976</v>
      </c>
      <c r="U88" s="187" t="s">
        <v>4846</v>
      </c>
      <c r="V88" s="206">
        <v>218.5</v>
      </c>
      <c r="W88" s="206">
        <f t="shared" si="40"/>
        <v>385.41484383561641</v>
      </c>
      <c r="X88" s="32">
        <f t="shared" si="41"/>
        <v>393.12314071232873</v>
      </c>
      <c r="Y88" s="32">
        <f t="shared" si="42"/>
        <v>400.83143758904106</v>
      </c>
      <c r="Z88" s="94">
        <v>5468</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5837196.2537021004</v>
      </c>
      <c r="S89" s="19" t="s">
        <v>4868</v>
      </c>
      <c r="T89" s="194">
        <f>T88-16</f>
        <v>960</v>
      </c>
      <c r="U89" s="187" t="s">
        <v>5590</v>
      </c>
      <c r="V89" s="206">
        <v>196.2</v>
      </c>
      <c r="W89" s="206">
        <f t="shared" si="40"/>
        <v>343.67144547945202</v>
      </c>
      <c r="X89" s="32">
        <f t="shared" si="41"/>
        <v>350.54487438904107</v>
      </c>
      <c r="Y89" s="32">
        <f t="shared" si="42"/>
        <v>357.41830329863012</v>
      </c>
      <c r="Z89" s="94">
        <v>29619</v>
      </c>
      <c r="AA89" s="113"/>
      <c r="AB89" s="113"/>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7082</v>
      </c>
      <c r="R90" s="167">
        <v>2948152</v>
      </c>
      <c r="S90" s="19" t="s">
        <v>5625</v>
      </c>
      <c r="T90" s="194">
        <f>T89-498</f>
        <v>462</v>
      </c>
      <c r="U90" s="187" t="s">
        <v>5626</v>
      </c>
      <c r="V90" s="206">
        <v>1550</v>
      </c>
      <c r="W90" s="206">
        <f t="shared" si="40"/>
        <v>2122.8969863013699</v>
      </c>
      <c r="X90" s="32">
        <f t="shared" ref="X90:X96" si="43">W90*(1+$X$19/100)</f>
        <v>2165.3549260273971</v>
      </c>
      <c r="Y90" s="32">
        <f t="shared" ref="Y90:Y96" si="44">W90*(1+$Y$19/100)</f>
        <v>2207.8128657534248</v>
      </c>
      <c r="Z90" s="94">
        <v>1895</v>
      </c>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5721</v>
      </c>
      <c r="T91" s="194">
        <f>T90-83</f>
        <v>379</v>
      </c>
      <c r="U91" s="187" t="s">
        <v>5722</v>
      </c>
      <c r="V91" s="206">
        <v>1275</v>
      </c>
      <c r="W91" s="206">
        <f t="shared" si="40"/>
        <v>1665.0731506849315</v>
      </c>
      <c r="X91" s="32">
        <f t="shared" si="43"/>
        <v>1698.3746136986301</v>
      </c>
      <c r="Y91" s="32">
        <f t="shared" si="44"/>
        <v>1731.6760767123289</v>
      </c>
      <c r="Z91" s="94">
        <v>48654</v>
      </c>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5729</v>
      </c>
      <c r="T92" s="194">
        <f>T91-5</f>
        <v>374</v>
      </c>
      <c r="U92" s="187" t="s">
        <v>5730</v>
      </c>
      <c r="V92" s="206">
        <v>1210</v>
      </c>
      <c r="W92" s="206">
        <f t="shared" si="40"/>
        <v>1575.54597260274</v>
      </c>
      <c r="X92" s="32">
        <f t="shared" si="43"/>
        <v>1607.0568920547948</v>
      </c>
      <c r="Y92" s="32">
        <f t="shared" si="44"/>
        <v>1638.5678115068497</v>
      </c>
      <c r="Z92" s="94">
        <v>450</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5735</v>
      </c>
      <c r="T93" s="194">
        <f>T92-4</f>
        <v>370</v>
      </c>
      <c r="U93" s="187" t="s">
        <v>5736</v>
      </c>
      <c r="V93" s="206">
        <v>1175</v>
      </c>
      <c r="W93" s="206">
        <f t="shared" si="40"/>
        <v>1526.3668493150687</v>
      </c>
      <c r="X93" s="32">
        <f t="shared" si="43"/>
        <v>1556.8941863013702</v>
      </c>
      <c r="Y93" s="32">
        <f t="shared" si="44"/>
        <v>1587.4215232876716</v>
      </c>
      <c r="Z93" s="94">
        <v>27754</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5737</v>
      </c>
      <c r="T94" s="194">
        <f>T93-3</f>
        <v>367</v>
      </c>
      <c r="U94" s="187" t="s">
        <v>5738</v>
      </c>
      <c r="V94" s="206">
        <v>1148</v>
      </c>
      <c r="W94" s="206">
        <f t="shared" si="40"/>
        <v>1488.6509150684933</v>
      </c>
      <c r="X94" s="32">
        <f t="shared" si="43"/>
        <v>1518.4239333698631</v>
      </c>
      <c r="Y94" s="32">
        <f t="shared" si="44"/>
        <v>1548.1969516712331</v>
      </c>
      <c r="Z94" s="94">
        <v>8020</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5741</v>
      </c>
      <c r="T95" s="194">
        <f>T94-1</f>
        <v>366</v>
      </c>
      <c r="U95" s="187" t="s">
        <v>5742</v>
      </c>
      <c r="V95" s="206">
        <v>1141</v>
      </c>
      <c r="W95" s="206">
        <f t="shared" si="40"/>
        <v>1478.6984876712329</v>
      </c>
      <c r="X95" s="32">
        <f t="shared" si="43"/>
        <v>1508.2724574246577</v>
      </c>
      <c r="Y95" s="32">
        <f t="shared" si="44"/>
        <v>1537.8464271780822</v>
      </c>
      <c r="Z95" s="94">
        <v>3695</v>
      </c>
      <c r="AA95" s="94"/>
      <c r="AB95" s="94"/>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5739</v>
      </c>
      <c r="T96" s="194">
        <f>T95-1</f>
        <v>365</v>
      </c>
      <c r="U96" s="187" t="s">
        <v>7036</v>
      </c>
      <c r="V96" s="206">
        <v>1171</v>
      </c>
      <c r="W96" s="206">
        <f t="shared" si="40"/>
        <v>1516.6792000000003</v>
      </c>
      <c r="X96" s="32">
        <f t="shared" si="43"/>
        <v>1547.0127840000002</v>
      </c>
      <c r="Y96" s="32">
        <f t="shared" si="44"/>
        <v>1577.3463680000004</v>
      </c>
      <c r="Z96" s="94">
        <v>54223</v>
      </c>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5799</v>
      </c>
      <c r="T97" s="194">
        <f>T96-65</f>
        <v>300</v>
      </c>
      <c r="U97" s="187" t="s">
        <v>5800</v>
      </c>
      <c r="V97" s="206">
        <v>1255.0999999999999</v>
      </c>
      <c r="W97" s="206">
        <f t="shared" si="40"/>
        <v>1563.0224515068492</v>
      </c>
      <c r="X97" s="32">
        <f t="shared" ref="X97:X103" si="46">W97*(1+$X$19/100)</f>
        <v>1594.2829005369863</v>
      </c>
      <c r="Y97" s="32">
        <f t="shared" ref="Y97:Y103" si="47">W97*(1+$Y$19/100)</f>
        <v>1625.5433495671232</v>
      </c>
      <c r="Z97" s="94"/>
      <c r="AA97" s="94">
        <v>26860</v>
      </c>
      <c r="AB97" s="94">
        <f>AA97*3</f>
        <v>80580</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4"/>
      <c r="R98" s="167"/>
      <c r="S98" s="19" t="s">
        <v>7063</v>
      </c>
      <c r="T98" s="194">
        <f>T112-1169</f>
        <v>31</v>
      </c>
      <c r="U98" s="187" t="s">
        <v>7066</v>
      </c>
      <c r="V98" s="206">
        <v>436.6</v>
      </c>
      <c r="W98" s="206">
        <f t="shared" si="40"/>
        <v>453.61902684931511</v>
      </c>
      <c r="X98" s="32">
        <f t="shared" si="46"/>
        <v>462.69140738630142</v>
      </c>
      <c r="Y98" s="32">
        <f t="shared" si="47"/>
        <v>471.76378792328774</v>
      </c>
      <c r="Z98" s="466"/>
      <c r="AA98" s="466"/>
      <c r="AB98" s="466">
        <v>2217</v>
      </c>
      <c r="AI98" s="97">
        <v>78</v>
      </c>
      <c r="AJ98" s="111" t="s">
        <v>4469</v>
      </c>
      <c r="AK98" s="111">
        <v>6400000</v>
      </c>
      <c r="AL98" s="97">
        <v>1</v>
      </c>
      <c r="AM98" s="97">
        <f t="shared" si="45"/>
        <v>987</v>
      </c>
      <c r="AN98" s="115">
        <f t="shared" si="11"/>
        <v>6316800000</v>
      </c>
      <c r="AO98" s="97"/>
    </row>
    <row r="99" spans="4:48">
      <c r="D99" s="2"/>
      <c r="E99" s="3"/>
      <c r="F99" s="472"/>
      <c r="G99" s="472"/>
      <c r="H99" s="472"/>
      <c r="I99" s="472"/>
      <c r="J99" s="472"/>
      <c r="K99" s="94"/>
      <c r="R99" s="167"/>
      <c r="S99" s="19" t="s">
        <v>7063</v>
      </c>
      <c r="T99" s="194">
        <f>T112-1169</f>
        <v>31</v>
      </c>
      <c r="U99" s="187" t="s">
        <v>7067</v>
      </c>
      <c r="V99" s="206">
        <v>1396</v>
      </c>
      <c r="W99" s="206">
        <f t="shared" si="40"/>
        <v>1450.4172273972604</v>
      </c>
      <c r="X99" s="32">
        <f t="shared" si="46"/>
        <v>1479.4255719452055</v>
      </c>
      <c r="Y99" s="32">
        <f t="shared" si="47"/>
        <v>1508.4339164931509</v>
      </c>
      <c r="Z99" s="466">
        <v>4518</v>
      </c>
      <c r="AA99" s="466"/>
      <c r="AB99" s="466"/>
      <c r="AI99" s="97">
        <v>79</v>
      </c>
      <c r="AJ99" s="111" t="s">
        <v>4467</v>
      </c>
      <c r="AK99" s="111">
        <v>5000</v>
      </c>
      <c r="AL99" s="97">
        <v>5</v>
      </c>
      <c r="AM99" s="97">
        <f t="shared" si="45"/>
        <v>986</v>
      </c>
      <c r="AN99" s="115">
        <f t="shared" si="11"/>
        <v>4930000</v>
      </c>
      <c r="AO99" s="97"/>
      <c r="AQ99" t="s">
        <v>25</v>
      </c>
    </row>
    <row r="100" spans="4:48">
      <c r="D100" s="2" t="s">
        <v>6</v>
      </c>
      <c r="E100" s="3">
        <f>SUM(E77:E98)</f>
        <v>3383333</v>
      </c>
      <c r="F100" s="472"/>
      <c r="G100" s="472"/>
      <c r="H100" s="472"/>
      <c r="I100" s="472"/>
      <c r="J100" s="472"/>
      <c r="K100" s="94"/>
      <c r="R100" s="167"/>
      <c r="S100" s="19"/>
      <c r="T100" s="194"/>
      <c r="U100" s="187"/>
      <c r="V100" s="206"/>
      <c r="W100" s="206"/>
      <c r="X100" s="32"/>
      <c r="Y100" s="32"/>
      <c r="Z100" s="466"/>
      <c r="AA100" s="466"/>
      <c r="AB100" s="466"/>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2"/>
      <c r="G101" s="472"/>
      <c r="H101" s="472"/>
      <c r="I101" s="472"/>
      <c r="J101" s="472"/>
      <c r="K101" s="94"/>
      <c r="M101" s="94" t="s">
        <v>25</v>
      </c>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R104" s="111">
        <f>SUM(N35:N36)-SUM(R81:R103)</f>
        <v>457298262.64629787</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1"/>
        <v>-3874479904</v>
      </c>
      <c r="AO105" s="97"/>
    </row>
    <row r="106" spans="4:48">
      <c r="J106" t="s">
        <v>25</v>
      </c>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1"/>
        <v>-24935093625</v>
      </c>
      <c r="AO106" s="97"/>
      <c r="AQ106" t="s">
        <v>25</v>
      </c>
    </row>
    <row r="107" spans="4:48">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1"/>
        <v>3900000000</v>
      </c>
      <c r="AO107" s="97"/>
    </row>
    <row r="108" spans="4:48">
      <c r="F108" s="474"/>
      <c r="G108" s="474"/>
      <c r="H108" s="474"/>
      <c r="I108" s="474"/>
      <c r="J108" s="32" t="s">
        <v>4480</v>
      </c>
      <c r="K108" s="206" t="s">
        <v>4595</v>
      </c>
      <c r="L108" s="32" t="s">
        <v>4597</v>
      </c>
      <c r="M108" s="32" t="s">
        <v>4572</v>
      </c>
      <c r="N108" s="206" t="s">
        <v>4573</v>
      </c>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1"/>
        <v>-4870000000</v>
      </c>
      <c r="AO108" s="97"/>
    </row>
    <row r="109" spans="4:48">
      <c r="F109" s="474"/>
      <c r="G109" s="474"/>
      <c r="H109" s="474"/>
      <c r="I109" s="474"/>
      <c r="J109" s="207" t="s">
        <v>4216</v>
      </c>
      <c r="K109" s="196">
        <v>837</v>
      </c>
      <c r="L109" s="208">
        <f t="shared" ref="L109:L114" si="48">K109*$L$117</f>
        <v>10403910000</v>
      </c>
      <c r="M109" s="208">
        <f>N28+N36+N51</f>
        <v>8544013440</v>
      </c>
      <c r="N109" s="181">
        <f>L109-M109</f>
        <v>1859896560</v>
      </c>
      <c r="P109" s="94"/>
      <c r="X109" s="191"/>
      <c r="Y109" s="191"/>
      <c r="AB109" t="s">
        <v>25</v>
      </c>
      <c r="AE109" s="94"/>
      <c r="AF109"/>
      <c r="AG109"/>
      <c r="AI109" s="97">
        <v>89</v>
      </c>
      <c r="AJ109" s="111" t="s">
        <v>4516</v>
      </c>
      <c r="AK109" s="111">
        <v>10000000</v>
      </c>
      <c r="AL109" s="97">
        <v>4</v>
      </c>
      <c r="AM109" s="97">
        <f t="shared" si="45"/>
        <v>972</v>
      </c>
      <c r="AN109" s="115">
        <f t="shared" si="11"/>
        <v>9720000000</v>
      </c>
      <c r="AO109" s="97"/>
    </row>
    <row r="110" spans="4:48" ht="30">
      <c r="F110" s="474"/>
      <c r="G110" s="474"/>
      <c r="H110" s="474"/>
      <c r="I110" s="474"/>
      <c r="J110" s="32" t="s">
        <v>5262</v>
      </c>
      <c r="K110" s="206">
        <v>213</v>
      </c>
      <c r="L110" s="1">
        <f t="shared" si="48"/>
        <v>2647590000</v>
      </c>
      <c r="M110" s="1">
        <f>N54+N35+N29</f>
        <v>2549809822.5</v>
      </c>
      <c r="N110" s="111">
        <f t="shared" ref="N110:N112" si="49">L110-M110</f>
        <v>97780177.5</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1"/>
        <v>-5074195016</v>
      </c>
      <c r="AO110" s="97"/>
    </row>
    <row r="111" spans="4:48">
      <c r="F111" s="474"/>
      <c r="G111" s="474"/>
      <c r="H111" s="474"/>
      <c r="I111" s="474"/>
      <c r="J111" s="207" t="s">
        <v>4358</v>
      </c>
      <c r="K111" s="196">
        <v>0</v>
      </c>
      <c r="L111" s="208">
        <f t="shared" si="48"/>
        <v>0</v>
      </c>
      <c r="M111" s="208">
        <f>N50</f>
        <v>0</v>
      </c>
      <c r="N111" s="181">
        <f t="shared" si="49"/>
        <v>0</v>
      </c>
      <c r="P111" s="94"/>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1"/>
        <v>21199200000</v>
      </c>
      <c r="AO111" s="97"/>
      <c r="AQ111" t="s">
        <v>25</v>
      </c>
      <c r="AV111"/>
    </row>
    <row r="112" spans="4:48">
      <c r="F112" s="474"/>
      <c r="G112" s="474"/>
      <c r="H112" s="474"/>
      <c r="I112" s="474"/>
      <c r="J112" s="262" t="s">
        <v>5283</v>
      </c>
      <c r="K112" s="187">
        <v>0</v>
      </c>
      <c r="L112" s="263">
        <f t="shared" si="48"/>
        <v>0</v>
      </c>
      <c r="M112" s="263">
        <f>N26+N34+N47</f>
        <v>506</v>
      </c>
      <c r="N112" s="186">
        <f t="shared" si="49"/>
        <v>-506</v>
      </c>
      <c r="P112" s="94"/>
      <c r="R112" s="35">
        <v>38474780.062005915</v>
      </c>
      <c r="S112" s="5" t="s">
        <v>4149</v>
      </c>
      <c r="T112" s="5">
        <v>1200</v>
      </c>
      <c r="U112" s="5" t="s">
        <v>5558</v>
      </c>
      <c r="V112" s="166">
        <v>192</v>
      </c>
      <c r="W112" s="97">
        <f t="shared" ref="W112:W145"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5"/>
        <v>966</v>
      </c>
      <c r="AN112" s="115">
        <f t="shared" si="11"/>
        <v>-14490000000</v>
      </c>
      <c r="AO112" s="97"/>
      <c r="AP112" t="s">
        <v>25</v>
      </c>
    </row>
    <row r="113" spans="6:47">
      <c r="F113" s="474"/>
      <c r="G113" s="474"/>
      <c r="H113" s="474"/>
      <c r="I113" s="474"/>
      <c r="J113" s="207" t="s">
        <v>314</v>
      </c>
      <c r="K113" s="196">
        <v>0</v>
      </c>
      <c r="L113" s="208">
        <f t="shared" si="48"/>
        <v>0</v>
      </c>
      <c r="M113" s="208">
        <f>N55+N30+N48+N27</f>
        <v>0</v>
      </c>
      <c r="N113" s="181">
        <f>L113-M113</f>
        <v>0</v>
      </c>
      <c r="P113" t="s">
        <v>25</v>
      </c>
      <c r="R113" s="167">
        <v>433201621</v>
      </c>
      <c r="S113" s="206" t="s">
        <v>5562</v>
      </c>
      <c r="T113" s="206">
        <f>T112-695</f>
        <v>505</v>
      </c>
      <c r="U113" s="206" t="s">
        <v>5569</v>
      </c>
      <c r="V113" s="206">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5"/>
        <v>966</v>
      </c>
      <c r="AN113" s="115">
        <f t="shared" si="11"/>
        <v>2898000000</v>
      </c>
      <c r="AO113" s="97"/>
    </row>
    <row r="114" spans="6:47">
      <c r="F114" s="474"/>
      <c r="G114" s="474"/>
      <c r="H114" s="474"/>
      <c r="I114" s="474"/>
      <c r="J114" s="237" t="s">
        <v>7094</v>
      </c>
      <c r="K114" s="189">
        <v>-158</v>
      </c>
      <c r="L114" s="238">
        <f t="shared" si="48"/>
        <v>-1963940000</v>
      </c>
      <c r="M114" s="238">
        <v>0</v>
      </c>
      <c r="N114" s="84">
        <f>L114-M114</f>
        <v>-1963940000</v>
      </c>
      <c r="P114" t="s">
        <v>25</v>
      </c>
      <c r="Q114" s="112"/>
      <c r="R114" s="167">
        <v>8201348.2384272004</v>
      </c>
      <c r="S114" s="206" t="s">
        <v>5565</v>
      </c>
      <c r="T114" s="206">
        <f>T113-5</f>
        <v>500</v>
      </c>
      <c r="U114" s="206" t="s">
        <v>5618</v>
      </c>
      <c r="V114" s="206">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5"/>
        <v>965</v>
      </c>
      <c r="AN114" s="115">
        <f t="shared" si="11"/>
        <v>-2030105240</v>
      </c>
      <c r="AO114" s="97"/>
    </row>
    <row r="115" spans="6:47">
      <c r="F115" s="474"/>
      <c r="G115" s="474"/>
      <c r="H115" s="474"/>
      <c r="I115" s="474"/>
      <c r="J115" s="32"/>
      <c r="K115" s="206"/>
      <c r="L115" s="1"/>
      <c r="M115" s="1"/>
      <c r="N115" s="111"/>
      <c r="O115" t="s">
        <v>25</v>
      </c>
      <c r="P115" t="s">
        <v>25</v>
      </c>
      <c r="R115" s="167">
        <v>106896832</v>
      </c>
      <c r="S115" s="206" t="s">
        <v>5620</v>
      </c>
      <c r="T115" s="206">
        <f>T114-36</f>
        <v>464</v>
      </c>
      <c r="U115" s="206" t="s">
        <v>5621</v>
      </c>
      <c r="V115" s="206">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5"/>
        <v>965</v>
      </c>
      <c r="AN115" s="115">
        <f t="shared" si="11"/>
        <v>212300000</v>
      </c>
      <c r="AO115" s="97"/>
      <c r="AS115" s="94"/>
      <c r="AT115" s="94"/>
      <c r="AU115"/>
    </row>
    <row r="116" spans="6:47">
      <c r="F116" s="474"/>
      <c r="G116" s="474"/>
      <c r="H116" s="474"/>
      <c r="I116" s="474"/>
      <c r="J116" s="207" t="s">
        <v>4980</v>
      </c>
      <c r="K116" s="196">
        <f>SUM(K109:K114)</f>
        <v>892</v>
      </c>
      <c r="L116" s="208"/>
      <c r="M116" s="208"/>
      <c r="N116" s="181"/>
      <c r="R116" s="167">
        <v>455942528</v>
      </c>
      <c r="S116" s="206" t="s">
        <v>5622</v>
      </c>
      <c r="T116" s="206">
        <f>T115-1</f>
        <v>463</v>
      </c>
      <c r="U116" s="206" t="s">
        <v>5623</v>
      </c>
      <c r="V116" s="206">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5"/>
        <v>962</v>
      </c>
      <c r="AN116" s="115">
        <f t="shared" si="11"/>
        <v>3848000000</v>
      </c>
      <c r="AO116" s="97"/>
    </row>
    <row r="117" spans="6:47">
      <c r="F117" s="474"/>
      <c r="G117" s="474"/>
      <c r="H117" s="474"/>
      <c r="I117" s="474"/>
      <c r="J117" s="32"/>
      <c r="K117" s="206">
        <v>0</v>
      </c>
      <c r="L117" s="39">
        <f>10*P56</f>
        <v>12430000</v>
      </c>
      <c r="M117" s="1">
        <f>K117*L117</f>
        <v>0</v>
      </c>
      <c r="N117" s="111">
        <f>SUM(N109:N115)-M117</f>
        <v>-6263768.5</v>
      </c>
      <c r="P117" s="112"/>
      <c r="R117" s="167">
        <v>834999909.33089697</v>
      </c>
      <c r="S117" s="206" t="s">
        <v>5625</v>
      </c>
      <c r="T117" s="206">
        <f>T116-1</f>
        <v>462</v>
      </c>
      <c r="U117" s="206" t="s">
        <v>5644</v>
      </c>
      <c r="V117" s="206">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5"/>
        <v>961</v>
      </c>
      <c r="AN117" s="115">
        <f t="shared" si="11"/>
        <v>-8649000000</v>
      </c>
      <c r="AO117" s="97"/>
      <c r="AQ117" t="s">
        <v>25</v>
      </c>
    </row>
    <row r="118" spans="6:47">
      <c r="F118" s="474"/>
      <c r="G118" s="474"/>
      <c r="H118" s="474"/>
      <c r="I118" s="474"/>
      <c r="J118" s="207"/>
      <c r="K118" s="225"/>
      <c r="L118" s="208" t="s">
        <v>4226</v>
      </c>
      <c r="M118" s="208" t="s">
        <v>4589</v>
      </c>
      <c r="N118" s="181" t="s">
        <v>4590</v>
      </c>
      <c r="P118" t="s">
        <v>25</v>
      </c>
      <c r="Q118" s="112"/>
      <c r="R118" s="167"/>
      <c r="S118" s="206" t="s">
        <v>5645</v>
      </c>
      <c r="T118" s="206">
        <f>T117-13</f>
        <v>449</v>
      </c>
      <c r="U118" s="206" t="s">
        <v>5646</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1"/>
        <v>13357900000</v>
      </c>
      <c r="AO118" s="97"/>
    </row>
    <row r="119" spans="6:47">
      <c r="F119" s="474"/>
      <c r="G119" s="474"/>
      <c r="H119" s="474"/>
      <c r="I119" s="474"/>
      <c r="J119" s="484" t="s">
        <v>4596</v>
      </c>
      <c r="K119" s="485"/>
      <c r="L119" s="1"/>
      <c r="M119" s="1"/>
      <c r="N119" s="111"/>
      <c r="R119" s="167" t="s">
        <v>25</v>
      </c>
      <c r="S119" s="206" t="s">
        <v>5647</v>
      </c>
      <c r="T119" s="206">
        <f>T118-1</f>
        <v>448</v>
      </c>
      <c r="U119" s="206" t="s">
        <v>5648</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c r="S120" s="206" t="s">
        <v>5649</v>
      </c>
      <c r="T120" s="206">
        <f>T119-1</f>
        <v>447</v>
      </c>
      <c r="U120" s="206" t="s">
        <v>5697</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5702</v>
      </c>
      <c r="T121" s="206">
        <f>T120-53</f>
        <v>394</v>
      </c>
      <c r="U121" s="206" t="s">
        <v>6945</v>
      </c>
      <c r="V121" s="206">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5755</v>
      </c>
      <c r="T122" s="206">
        <f>T121-71</f>
        <v>323</v>
      </c>
      <c r="U122" s="206" t="s">
        <v>5759</v>
      </c>
      <c r="V122" s="206">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955</v>
      </c>
      <c r="AN122" s="77">
        <f t="shared" si="64"/>
        <v>12483389460</v>
      </c>
      <c r="AO122" s="201" t="s">
        <v>4550</v>
      </c>
    </row>
    <row r="123" spans="6:47">
      <c r="G123" s="94"/>
      <c r="H123" s="94"/>
      <c r="I123" s="94"/>
      <c r="J123" s="94"/>
      <c r="K123" s="166" t="s">
        <v>4216</v>
      </c>
      <c r="L123" s="167">
        <v>1100000</v>
      </c>
      <c r="M123" s="167">
        <v>1637000</v>
      </c>
      <c r="N123" s="166">
        <f t="shared" ref="N123:N131" si="65">(M123-L123)*100/L123</f>
        <v>48.81818181818182</v>
      </c>
      <c r="R123" s="167"/>
      <c r="S123" s="206" t="s">
        <v>5760</v>
      </c>
      <c r="T123" s="206">
        <f>T122-8</f>
        <v>315</v>
      </c>
      <c r="U123" s="206" t="s">
        <v>5776</v>
      </c>
      <c r="V123" s="206">
        <v>1266</v>
      </c>
      <c r="W123" s="97">
        <f t="shared" si="50"/>
        <v>1591.164295890411</v>
      </c>
      <c r="X123" s="32">
        <f t="shared" si="61"/>
        <v>1622.9875818082194</v>
      </c>
      <c r="Y123" s="32">
        <f t="shared" si="62"/>
        <v>1654.8108677260275</v>
      </c>
      <c r="Z123" s="94"/>
      <c r="AA123" s="94">
        <v>62174</v>
      </c>
      <c r="AB123" s="464">
        <f t="shared" ref="AB123:AB131" si="66">AA123*3</f>
        <v>186522</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4475</v>
      </c>
      <c r="L124" s="167">
        <v>1100000</v>
      </c>
      <c r="M124" s="167">
        <v>4748000</v>
      </c>
      <c r="N124" s="166">
        <f t="shared" si="65"/>
        <v>331.63636363636363</v>
      </c>
      <c r="R124" s="167"/>
      <c r="S124" s="206" t="s">
        <v>5777</v>
      </c>
      <c r="T124" s="206">
        <f>T123-13</f>
        <v>302</v>
      </c>
      <c r="U124" s="206" t="s">
        <v>6453</v>
      </c>
      <c r="V124" s="206">
        <v>1275</v>
      </c>
      <c r="W124" s="97">
        <f t="shared" si="50"/>
        <v>1589.7608219178082</v>
      </c>
      <c r="X124" s="32">
        <f t="shared" si="61"/>
        <v>1621.5560383561644</v>
      </c>
      <c r="Y124" s="32">
        <f t="shared" si="62"/>
        <v>1653.3512547945206</v>
      </c>
      <c r="Z124" s="94"/>
      <c r="AA124" s="94">
        <v>6826</v>
      </c>
      <c r="AB124" s="464">
        <f t="shared" si="66"/>
        <v>20478</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4476</v>
      </c>
      <c r="L125" s="167">
        <v>1100000</v>
      </c>
      <c r="M125" s="167">
        <v>5137000</v>
      </c>
      <c r="N125" s="166">
        <f t="shared" si="65"/>
        <v>367</v>
      </c>
      <c r="R125" s="167"/>
      <c r="S125" s="206" t="s">
        <v>6454</v>
      </c>
      <c r="T125" s="206">
        <f>T124-117</f>
        <v>185</v>
      </c>
      <c r="U125" s="206" t="s">
        <v>6455</v>
      </c>
      <c r="V125" s="206">
        <v>1310</v>
      </c>
      <c r="W125" s="97">
        <f t="shared" si="50"/>
        <v>1515.8243287671235</v>
      </c>
      <c r="X125" s="32">
        <f t="shared" ref="X125:X126" si="67">W125*(1+$X$19/100)</f>
        <v>1546.1408153424659</v>
      </c>
      <c r="Y125" s="32">
        <f t="shared" ref="Y125:Y126" si="68">W125*(1+$Y$19/100)</f>
        <v>1576.4573019178085</v>
      </c>
      <c r="Z125" s="94"/>
      <c r="AA125" s="94">
        <v>22240</v>
      </c>
      <c r="AB125" s="464">
        <f t="shared" si="66"/>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4354</v>
      </c>
      <c r="L126" s="167">
        <v>1100000</v>
      </c>
      <c r="M126" s="167">
        <v>4300000</v>
      </c>
      <c r="N126" s="166">
        <f t="shared" si="65"/>
        <v>290.90909090909093</v>
      </c>
      <c r="R126" s="167"/>
      <c r="S126" s="206" t="s">
        <v>6463</v>
      </c>
      <c r="T126" s="206">
        <f>T125-4</f>
        <v>181</v>
      </c>
      <c r="U126" s="206" t="s">
        <v>6597</v>
      </c>
      <c r="V126" s="206">
        <v>1388</v>
      </c>
      <c r="W126" s="97">
        <f t="shared" si="50"/>
        <v>1601.8204493150686</v>
      </c>
      <c r="X126" s="32">
        <f t="shared" si="67"/>
        <v>1633.85685830137</v>
      </c>
      <c r="Y126" s="32">
        <f t="shared" si="68"/>
        <v>1665.8932672876713</v>
      </c>
      <c r="Z126" s="94"/>
      <c r="AA126" s="94">
        <v>356260</v>
      </c>
      <c r="AB126" s="464">
        <f t="shared" si="66"/>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4371</v>
      </c>
      <c r="L127" s="167">
        <v>1100000</v>
      </c>
      <c r="M127" s="167">
        <v>3191000</v>
      </c>
      <c r="N127" s="166">
        <f t="shared" si="65"/>
        <v>190.09090909090909</v>
      </c>
      <c r="R127" s="167"/>
      <c r="S127" s="206" t="s">
        <v>6603</v>
      </c>
      <c r="T127" s="206">
        <f>T126-39</f>
        <v>142</v>
      </c>
      <c r="U127" s="206" t="s">
        <v>6911</v>
      </c>
      <c r="V127" s="206">
        <v>1702</v>
      </c>
      <c r="W127" s="97">
        <f t="shared" si="50"/>
        <v>1913.2718246575344</v>
      </c>
      <c r="X127" s="32">
        <f t="shared" ref="X127:X148" si="69">W127*(1+$X$19/100)</f>
        <v>1951.537261150685</v>
      </c>
      <c r="Y127" s="32">
        <f t="shared" ref="Y127:Y148" si="70">W127*(1+$Y$19/100)</f>
        <v>1989.8026976438357</v>
      </c>
      <c r="Z127" s="377"/>
      <c r="AA127" s="377">
        <v>1001</v>
      </c>
      <c r="AB127" s="464">
        <f t="shared" si="66"/>
        <v>3003</v>
      </c>
      <c r="AC127" s="94"/>
      <c r="AD127" t="s">
        <v>25</v>
      </c>
      <c r="AI127" s="147">
        <v>107</v>
      </c>
      <c r="AJ127" s="186" t="s">
        <v>4559</v>
      </c>
      <c r="AK127" s="186">
        <v>-48200</v>
      </c>
      <c r="AL127" s="147">
        <v>0</v>
      </c>
      <c r="AM127" s="147">
        <f t="shared" ref="AM127:AM177" si="71">AM128+AL127</f>
        <v>952</v>
      </c>
      <c r="AN127" s="186">
        <f t="shared" si="64"/>
        <v>-45886400</v>
      </c>
      <c r="AO127" s="147" t="s">
        <v>4565</v>
      </c>
    </row>
    <row r="128" spans="6:47">
      <c r="F128" s="94"/>
      <c r="G128" s="94"/>
      <c r="H128" s="94"/>
      <c r="I128" s="94"/>
      <c r="J128" s="94"/>
      <c r="K128" s="5" t="s">
        <v>4477</v>
      </c>
      <c r="L128" s="167">
        <v>1100000</v>
      </c>
      <c r="M128" s="167">
        <v>5623000</v>
      </c>
      <c r="N128" s="166">
        <f t="shared" si="65"/>
        <v>411.18181818181819</v>
      </c>
      <c r="R128" s="167"/>
      <c r="S128" s="206" t="s">
        <v>6914</v>
      </c>
      <c r="T128" s="206">
        <f>T112-1086</f>
        <v>114</v>
      </c>
      <c r="U128" s="206" t="s">
        <v>6916</v>
      </c>
      <c r="V128" s="206">
        <v>1555</v>
      </c>
      <c r="W128" s="97">
        <f t="shared" si="50"/>
        <v>1714.6239452054797</v>
      </c>
      <c r="X128" s="32">
        <f t="shared" si="69"/>
        <v>1748.9164241095893</v>
      </c>
      <c r="Y128" s="32">
        <f t="shared" si="70"/>
        <v>1783.208903013699</v>
      </c>
      <c r="Z128" s="410"/>
      <c r="AA128" s="410">
        <v>93469</v>
      </c>
      <c r="AB128" s="464">
        <f t="shared" si="66"/>
        <v>280407</v>
      </c>
      <c r="AC128" t="s">
        <v>25</v>
      </c>
      <c r="AI128" s="87">
        <v>108</v>
      </c>
      <c r="AJ128" s="88" t="s">
        <v>4559</v>
      </c>
      <c r="AK128" s="88">
        <v>39327293</v>
      </c>
      <c r="AL128" s="87">
        <v>4</v>
      </c>
      <c r="AM128" s="147">
        <f t="shared" si="71"/>
        <v>952</v>
      </c>
      <c r="AN128" s="186">
        <f t="shared" si="64"/>
        <v>37439582936</v>
      </c>
      <c r="AO128" s="87" t="s">
        <v>4566</v>
      </c>
    </row>
    <row r="129" spans="6:44">
      <c r="F129" s="94"/>
      <c r="G129" s="94"/>
      <c r="H129" s="94"/>
      <c r="I129" s="94"/>
      <c r="J129" s="94"/>
      <c r="K129" s="19" t="s">
        <v>4358</v>
      </c>
      <c r="L129" s="167">
        <v>1100000</v>
      </c>
      <c r="M129" s="167">
        <v>7728000</v>
      </c>
      <c r="N129" s="166">
        <f t="shared" si="65"/>
        <v>602.5454545454545</v>
      </c>
      <c r="R129" s="167"/>
      <c r="S129" s="206" t="s">
        <v>6920</v>
      </c>
      <c r="T129" s="206">
        <f>T112-1100</f>
        <v>100</v>
      </c>
      <c r="U129" s="206" t="s">
        <v>6922</v>
      </c>
      <c r="V129" s="206">
        <v>1525</v>
      </c>
      <c r="W129" s="97">
        <f t="shared" si="50"/>
        <v>1665.166301369863</v>
      </c>
      <c r="X129" s="32">
        <f t="shared" si="69"/>
        <v>1698.4696273972604</v>
      </c>
      <c r="Y129" s="32">
        <f t="shared" si="70"/>
        <v>1731.7729534246575</v>
      </c>
      <c r="Z129" s="414"/>
      <c r="AA129" s="414">
        <v>672591</v>
      </c>
      <c r="AB129" s="464">
        <f t="shared" si="66"/>
        <v>2017773</v>
      </c>
      <c r="AI129" s="87">
        <v>109</v>
      </c>
      <c r="AJ129" s="88" t="s">
        <v>4580</v>
      </c>
      <c r="AK129" s="88">
        <v>8749050</v>
      </c>
      <c r="AL129" s="87">
        <v>1</v>
      </c>
      <c r="AM129" s="87">
        <f t="shared" si="71"/>
        <v>948</v>
      </c>
      <c r="AN129" s="88">
        <f t="shared" si="64"/>
        <v>8294099400</v>
      </c>
      <c r="AO129" s="87" t="s">
        <v>4581</v>
      </c>
    </row>
    <row r="130" spans="6:44">
      <c r="F130" s="94"/>
      <c r="G130" s="94"/>
      <c r="H130" s="94"/>
      <c r="I130" s="94"/>
      <c r="J130" s="94"/>
      <c r="K130" s="5" t="s">
        <v>4479</v>
      </c>
      <c r="L130" s="167">
        <v>1100000</v>
      </c>
      <c r="M130" s="167">
        <v>2904000</v>
      </c>
      <c r="N130" s="166">
        <f t="shared" si="65"/>
        <v>164</v>
      </c>
      <c r="R130" s="167"/>
      <c r="S130" s="206" t="s">
        <v>6923</v>
      </c>
      <c r="T130" s="206">
        <f>T112-1102</f>
        <v>98</v>
      </c>
      <c r="U130" s="206" t="s">
        <v>6924</v>
      </c>
      <c r="V130" s="206">
        <v>1541</v>
      </c>
      <c r="W130" s="97">
        <f t="shared" si="50"/>
        <v>1680.2726246575346</v>
      </c>
      <c r="X130" s="32">
        <f t="shared" si="69"/>
        <v>1713.8780771506854</v>
      </c>
      <c r="Y130" s="32">
        <f t="shared" si="70"/>
        <v>1747.4835296438362</v>
      </c>
      <c r="Z130" s="414"/>
      <c r="AA130" s="414">
        <v>227276</v>
      </c>
      <c r="AB130" s="464">
        <f t="shared" si="66"/>
        <v>681828</v>
      </c>
      <c r="AI130" s="97">
        <v>110</v>
      </c>
      <c r="AJ130" s="111" t="s">
        <v>4582</v>
      </c>
      <c r="AK130" s="111">
        <v>60000</v>
      </c>
      <c r="AL130" s="97">
        <v>1</v>
      </c>
      <c r="AM130" s="97">
        <f t="shared" si="71"/>
        <v>947</v>
      </c>
      <c r="AN130" s="115">
        <f t="shared" si="64"/>
        <v>56820000</v>
      </c>
      <c r="AO130" s="97" t="s">
        <v>4583</v>
      </c>
    </row>
    <row r="131" spans="6:44">
      <c r="G131" s="94"/>
      <c r="H131" s="94"/>
      <c r="I131" s="94"/>
      <c r="J131" s="94"/>
      <c r="K131" s="54" t="s">
        <v>1068</v>
      </c>
      <c r="L131" s="167">
        <v>1100000</v>
      </c>
      <c r="M131" s="167">
        <v>3400000</v>
      </c>
      <c r="N131" s="166">
        <f t="shared" si="65"/>
        <v>209.09090909090909</v>
      </c>
      <c r="R131" s="167"/>
      <c r="S131" s="206" t="s">
        <v>6925</v>
      </c>
      <c r="T131" s="206">
        <f>T112-1103</f>
        <v>97</v>
      </c>
      <c r="U131" s="206" t="s">
        <v>6956</v>
      </c>
      <c r="V131" s="206">
        <v>1525</v>
      </c>
      <c r="W131" s="97">
        <f t="shared" si="50"/>
        <v>1661.6567123287673</v>
      </c>
      <c r="X131" s="32">
        <f t="shared" si="69"/>
        <v>1694.8898465753427</v>
      </c>
      <c r="Y131" s="32">
        <f t="shared" si="70"/>
        <v>1728.122980821918</v>
      </c>
      <c r="Z131" s="412"/>
      <c r="AA131" s="412">
        <v>58273.334000000003</v>
      </c>
      <c r="AB131" s="464">
        <f t="shared" si="66"/>
        <v>174820.00200000001</v>
      </c>
      <c r="AI131" s="20">
        <v>111</v>
      </c>
      <c r="AJ131" s="115" t="s">
        <v>4591</v>
      </c>
      <c r="AK131" s="115">
        <v>4750000</v>
      </c>
      <c r="AL131" s="20">
        <v>0</v>
      </c>
      <c r="AM131" s="97">
        <f t="shared" si="71"/>
        <v>946</v>
      </c>
      <c r="AN131" s="115">
        <f t="shared" si="64"/>
        <v>4493500000</v>
      </c>
      <c r="AO131" s="20"/>
      <c r="AR131" t="s">
        <v>25</v>
      </c>
    </row>
    <row r="132" spans="6:44">
      <c r="K132" s="224" t="s">
        <v>5346</v>
      </c>
      <c r="R132" s="167"/>
      <c r="S132" s="206" t="s">
        <v>6948</v>
      </c>
      <c r="T132" s="206">
        <f>T112-1113</f>
        <v>87</v>
      </c>
      <c r="U132" s="206" t="s">
        <v>6949</v>
      </c>
      <c r="V132" s="206">
        <v>1580</v>
      </c>
      <c r="W132" s="97">
        <f t="shared" si="50"/>
        <v>1709.4647671232876</v>
      </c>
      <c r="X132" s="32">
        <f t="shared" si="69"/>
        <v>1743.6540624657534</v>
      </c>
      <c r="Y132" s="32">
        <f t="shared" si="70"/>
        <v>1777.8433578082193</v>
      </c>
      <c r="Z132" s="430">
        <v>45255</v>
      </c>
      <c r="AA132" s="430"/>
      <c r="AB132" s="464"/>
      <c r="AD132" t="s">
        <v>25</v>
      </c>
      <c r="AI132" s="87">
        <v>112</v>
      </c>
      <c r="AJ132" s="88" t="s">
        <v>4591</v>
      </c>
      <c r="AK132" s="88">
        <v>13101160</v>
      </c>
      <c r="AL132" s="87">
        <v>1</v>
      </c>
      <c r="AM132" s="87">
        <f t="shared" si="71"/>
        <v>946</v>
      </c>
      <c r="AN132" s="88">
        <f t="shared" si="64"/>
        <v>12393697360</v>
      </c>
      <c r="AO132" s="87" t="s">
        <v>4594</v>
      </c>
    </row>
    <row r="133" spans="6:44">
      <c r="K133" s="224" t="s">
        <v>4508</v>
      </c>
      <c r="R133" s="167"/>
      <c r="S133" s="206" t="s">
        <v>6950</v>
      </c>
      <c r="T133" s="206">
        <f>T112-1114</f>
        <v>86</v>
      </c>
      <c r="U133" s="206" t="s">
        <v>6951</v>
      </c>
      <c r="V133" s="206">
        <v>1560</v>
      </c>
      <c r="W133" s="97">
        <f t="shared" si="50"/>
        <v>1686.6292602739727</v>
      </c>
      <c r="X133" s="32">
        <f t="shared" si="69"/>
        <v>1720.3618454794521</v>
      </c>
      <c r="Y133" s="32">
        <f t="shared" si="70"/>
        <v>1754.0944306849317</v>
      </c>
      <c r="Z133" s="430">
        <v>48918</v>
      </c>
      <c r="AA133" s="430"/>
      <c r="AB133" s="464"/>
      <c r="AI133" s="20">
        <v>113</v>
      </c>
      <c r="AJ133" s="115" t="s">
        <v>4593</v>
      </c>
      <c r="AK133" s="115">
        <v>-980000</v>
      </c>
      <c r="AL133" s="20">
        <v>0</v>
      </c>
      <c r="AM133" s="97">
        <f t="shared" si="71"/>
        <v>945</v>
      </c>
      <c r="AN133" s="115">
        <f t="shared" si="64"/>
        <v>-926100000</v>
      </c>
      <c r="AO133" s="20"/>
    </row>
    <row r="134" spans="6:44">
      <c r="K134" s="224" t="s">
        <v>4509</v>
      </c>
      <c r="P134" t="s">
        <v>25</v>
      </c>
      <c r="R134" s="167"/>
      <c r="S134" s="206" t="s">
        <v>6952</v>
      </c>
      <c r="T134" s="206">
        <f>T112-1117</f>
        <v>83</v>
      </c>
      <c r="U134" s="206" t="s">
        <v>6962</v>
      </c>
      <c r="V134" s="206">
        <v>1496</v>
      </c>
      <c r="W134" s="97">
        <f t="shared" si="50"/>
        <v>1613.9913643835619</v>
      </c>
      <c r="X134" s="32">
        <f t="shared" si="69"/>
        <v>1646.2711916712331</v>
      </c>
      <c r="Y134" s="32">
        <f t="shared" si="70"/>
        <v>1678.5510189589045</v>
      </c>
      <c r="Z134" s="431">
        <v>83166</v>
      </c>
      <c r="AA134" s="431"/>
      <c r="AB134" s="464"/>
      <c r="AI134" s="87">
        <v>114</v>
      </c>
      <c r="AJ134" s="88" t="s">
        <v>4593</v>
      </c>
      <c r="AK134" s="88">
        <v>13301790</v>
      </c>
      <c r="AL134" s="87">
        <v>0</v>
      </c>
      <c r="AM134" s="87">
        <f t="shared" si="71"/>
        <v>945</v>
      </c>
      <c r="AN134" s="88">
        <f t="shared" si="64"/>
        <v>12570191550</v>
      </c>
      <c r="AO134" s="87" t="s">
        <v>4594</v>
      </c>
      <c r="AR134" t="s">
        <v>25</v>
      </c>
    </row>
    <row r="135" spans="6:44">
      <c r="R135" s="167"/>
      <c r="S135" s="206" t="s">
        <v>6971</v>
      </c>
      <c r="T135" s="206">
        <f>T112-1134</f>
        <v>66</v>
      </c>
      <c r="U135" s="206" t="s">
        <v>6972</v>
      </c>
      <c r="V135" s="206">
        <v>1495</v>
      </c>
      <c r="W135" s="97">
        <f t="shared" si="50"/>
        <v>1593.4160547945207</v>
      </c>
      <c r="X135" s="32">
        <f t="shared" ref="X135:X147" si="72">W135*(1+$X$19/100)</f>
        <v>1625.2843758904112</v>
      </c>
      <c r="Y135" s="32">
        <f t="shared" ref="Y135:Y147" si="73">W135*(1+$Y$19/100)</f>
        <v>1657.1526969863016</v>
      </c>
      <c r="Z135" s="438">
        <v>50661</v>
      </c>
      <c r="AA135" s="438"/>
      <c r="AB135" s="438"/>
      <c r="AD135" t="s">
        <v>25</v>
      </c>
      <c r="AI135" s="20">
        <v>115</v>
      </c>
      <c r="AJ135" s="115" t="s">
        <v>4593</v>
      </c>
      <c r="AK135" s="115">
        <v>404000</v>
      </c>
      <c r="AL135" s="20">
        <v>5</v>
      </c>
      <c r="AM135" s="97">
        <f t="shared" si="71"/>
        <v>945</v>
      </c>
      <c r="AN135" s="115">
        <f t="shared" si="64"/>
        <v>381780000</v>
      </c>
      <c r="AO135" s="20" t="s">
        <v>4600</v>
      </c>
    </row>
    <row r="136" spans="6:44">
      <c r="R136" s="167"/>
      <c r="S136" s="206" t="s">
        <v>6974</v>
      </c>
      <c r="T136" s="206">
        <f>T112-1135</f>
        <v>65</v>
      </c>
      <c r="U136" s="206" t="s">
        <v>7070</v>
      </c>
      <c r="V136" s="206">
        <v>1439</v>
      </c>
      <c r="W136" s="97">
        <f t="shared" si="50"/>
        <v>1532.6256767123291</v>
      </c>
      <c r="X136" s="32">
        <f t="shared" si="72"/>
        <v>1563.2781902465756</v>
      </c>
      <c r="Y136" s="32">
        <f t="shared" si="73"/>
        <v>1593.9307037808223</v>
      </c>
      <c r="Z136" s="438">
        <v>50767</v>
      </c>
      <c r="AA136" s="438"/>
      <c r="AB136" s="438"/>
      <c r="AI136" s="87">
        <v>116</v>
      </c>
      <c r="AJ136" s="88" t="s">
        <v>4606</v>
      </c>
      <c r="AK136" s="88">
        <v>4291628</v>
      </c>
      <c r="AL136" s="87">
        <v>2</v>
      </c>
      <c r="AM136" s="87">
        <f t="shared" si="71"/>
        <v>940</v>
      </c>
      <c r="AN136" s="88">
        <f t="shared" si="64"/>
        <v>4034130320</v>
      </c>
      <c r="AO136" s="87" t="s">
        <v>4607</v>
      </c>
    </row>
    <row r="137" spans="6:44">
      <c r="R137" s="167"/>
      <c r="S137" s="206" t="s">
        <v>7062</v>
      </c>
      <c r="T137" s="206">
        <f>T112-1166</f>
        <v>34</v>
      </c>
      <c r="U137" s="206" t="s">
        <v>7068</v>
      </c>
      <c r="V137" s="206">
        <v>432.8</v>
      </c>
      <c r="W137" s="97">
        <f t="shared" si="50"/>
        <v>450.66693260273973</v>
      </c>
      <c r="X137" s="32">
        <f t="shared" si="72"/>
        <v>459.68027125479455</v>
      </c>
      <c r="Y137" s="32">
        <f t="shared" si="73"/>
        <v>468.69360990684936</v>
      </c>
      <c r="Z137" s="465"/>
      <c r="AA137" s="465"/>
      <c r="AB137" s="465">
        <v>83735</v>
      </c>
      <c r="AD137" t="s">
        <v>25</v>
      </c>
      <c r="AI137" s="20">
        <v>117</v>
      </c>
      <c r="AJ137" s="115" t="s">
        <v>4609</v>
      </c>
      <c r="AK137" s="115">
        <v>1000</v>
      </c>
      <c r="AL137" s="20">
        <v>5</v>
      </c>
      <c r="AM137" s="20">
        <f t="shared" si="71"/>
        <v>938</v>
      </c>
      <c r="AN137" s="115">
        <f t="shared" si="64"/>
        <v>938000</v>
      </c>
      <c r="AO137" s="20"/>
    </row>
    <row r="138" spans="6:44">
      <c r="G138" s="32" t="s">
        <v>4216</v>
      </c>
      <c r="H138" s="32"/>
      <c r="I138" s="32" t="s">
        <v>4358</v>
      </c>
      <c r="K138" s="94"/>
      <c r="L138" s="94"/>
      <c r="M138" s="94"/>
      <c r="R138" s="167"/>
      <c r="S138" s="206" t="s">
        <v>7074</v>
      </c>
      <c r="T138" s="206">
        <f>T112-1183</f>
        <v>17</v>
      </c>
      <c r="U138" s="206" t="s">
        <v>7075</v>
      </c>
      <c r="V138" s="206">
        <v>1427</v>
      </c>
      <c r="W138" s="97">
        <f t="shared" si="50"/>
        <v>1467.3000438356166</v>
      </c>
      <c r="X138" s="32">
        <f t="shared" si="72"/>
        <v>1496.6460447123291</v>
      </c>
      <c r="Y138" s="32">
        <f t="shared" si="73"/>
        <v>1525.9920455890413</v>
      </c>
      <c r="Z138" s="469">
        <v>9610</v>
      </c>
      <c r="AA138" s="469"/>
      <c r="AB138" s="469"/>
      <c r="AI138" s="119">
        <v>118</v>
      </c>
      <c r="AJ138" s="77" t="s">
        <v>4617</v>
      </c>
      <c r="AK138" s="77">
        <v>8739459</v>
      </c>
      <c r="AL138" s="119">
        <v>2</v>
      </c>
      <c r="AM138" s="119">
        <f t="shared" si="71"/>
        <v>933</v>
      </c>
      <c r="AN138" s="77">
        <f t="shared" si="64"/>
        <v>8153915247</v>
      </c>
      <c r="AO138" s="119" t="s">
        <v>4581</v>
      </c>
    </row>
    <row r="139" spans="6:44">
      <c r="G139" s="32">
        <f>O28+O36+O51</f>
        <v>5852064</v>
      </c>
      <c r="H139" s="32" t="s">
        <v>5432</v>
      </c>
      <c r="I139" s="32">
        <f>O50</f>
        <v>0</v>
      </c>
      <c r="J139" s="112"/>
      <c r="K139" s="94"/>
      <c r="L139" s="94"/>
      <c r="M139" s="94"/>
      <c r="R139" s="167"/>
      <c r="S139" s="206" t="s">
        <v>7077</v>
      </c>
      <c r="T139" s="206">
        <f>T112-1184</f>
        <v>16</v>
      </c>
      <c r="U139" s="206" t="s">
        <v>7078</v>
      </c>
      <c r="V139" s="206">
        <v>1426</v>
      </c>
      <c r="W139" s="97">
        <f t="shared" si="50"/>
        <v>1465.1778849315069</v>
      </c>
      <c r="X139" s="32">
        <f t="shared" si="72"/>
        <v>1494.4814426301371</v>
      </c>
      <c r="Y139" s="32">
        <f t="shared" si="73"/>
        <v>1523.7850003287672</v>
      </c>
      <c r="Z139" s="469">
        <v>27157</v>
      </c>
      <c r="AA139" s="469"/>
      <c r="AB139" s="469"/>
      <c r="AI139" s="119">
        <v>119</v>
      </c>
      <c r="AJ139" s="77" t="s">
        <v>4618</v>
      </c>
      <c r="AK139" s="77">
        <v>17595278</v>
      </c>
      <c r="AL139" s="119">
        <v>1</v>
      </c>
      <c r="AM139" s="119">
        <f t="shared" si="71"/>
        <v>931</v>
      </c>
      <c r="AN139" s="77">
        <f t="shared" si="64"/>
        <v>16381203818</v>
      </c>
      <c r="AO139" s="119" t="s">
        <v>4620</v>
      </c>
      <c r="AR139" t="s">
        <v>25</v>
      </c>
    </row>
    <row r="140" spans="6:44">
      <c r="G140" s="32">
        <f>(N29+N31+N35+N49+N50+N30+N52+N54)/P51</f>
        <v>1746445.0839041097</v>
      </c>
      <c r="H140" s="276" t="s">
        <v>5433</v>
      </c>
      <c r="I140" s="32">
        <f>(N51+N49+N36+N31+N28+N29+N30+N35+N52+N54)/P50</f>
        <v>399058.39073741005</v>
      </c>
      <c r="J140" s="112"/>
      <c r="K140" s="94"/>
      <c r="L140" s="94" t="s">
        <v>25</v>
      </c>
      <c r="M140" s="94"/>
      <c r="R140" s="167"/>
      <c r="S140" s="206" t="s">
        <v>7092</v>
      </c>
      <c r="T140" s="206">
        <f>T112-1191</f>
        <v>9</v>
      </c>
      <c r="U140" s="206" t="s">
        <v>7091</v>
      </c>
      <c r="V140" s="206">
        <v>1542</v>
      </c>
      <c r="W140" s="97">
        <f t="shared" si="50"/>
        <v>1576.0845369863016</v>
      </c>
      <c r="X140" s="32">
        <f t="shared" si="72"/>
        <v>1607.6062277260276</v>
      </c>
      <c r="Y140" s="32">
        <f t="shared" si="73"/>
        <v>1639.1279184657537</v>
      </c>
      <c r="Z140" s="473">
        <v>1782</v>
      </c>
      <c r="AA140" s="473"/>
      <c r="AB140" s="473"/>
      <c r="AI140" s="119">
        <v>120</v>
      </c>
      <c r="AJ140" s="77" t="s">
        <v>4619</v>
      </c>
      <c r="AK140" s="77">
        <v>13335309</v>
      </c>
      <c r="AL140" s="119">
        <v>13</v>
      </c>
      <c r="AM140" s="119">
        <f t="shared" si="71"/>
        <v>930</v>
      </c>
      <c r="AN140" s="77">
        <f t="shared" si="64"/>
        <v>12401837370</v>
      </c>
      <c r="AO140" s="119" t="s">
        <v>4594</v>
      </c>
    </row>
    <row r="141" spans="6:44">
      <c r="G141" s="32">
        <f>G139+G140</f>
        <v>7598509.0839041099</v>
      </c>
      <c r="H141" s="32" t="s">
        <v>5434</v>
      </c>
      <c r="I141" s="32">
        <f>I139+I140</f>
        <v>399058.39073741005</v>
      </c>
      <c r="J141" s="112"/>
      <c r="K141" s="94"/>
      <c r="L141" s="94"/>
      <c r="N141" s="94"/>
      <c r="P141" t="s">
        <v>25</v>
      </c>
      <c r="R141" s="167"/>
      <c r="S141" s="206" t="s">
        <v>7097</v>
      </c>
      <c r="T141" s="206">
        <f>T112-1193</f>
        <v>7</v>
      </c>
      <c r="U141" s="206" t="s">
        <v>7098</v>
      </c>
      <c r="V141" s="206">
        <v>1510</v>
      </c>
      <c r="W141" s="97">
        <f t="shared" si="50"/>
        <v>1541.0604931506853</v>
      </c>
      <c r="X141" s="32">
        <f t="shared" si="72"/>
        <v>1571.8817030136991</v>
      </c>
      <c r="Y141" s="32">
        <f t="shared" si="73"/>
        <v>1602.7029128767126</v>
      </c>
      <c r="Z141" s="475">
        <v>7126</v>
      </c>
      <c r="AA141" s="475"/>
      <c r="AB141" s="475"/>
      <c r="AC141" t="s">
        <v>25</v>
      </c>
      <c r="AI141" s="159">
        <v>121</v>
      </c>
      <c r="AJ141" s="216" t="s">
        <v>4669</v>
      </c>
      <c r="AK141" s="216">
        <v>50000000</v>
      </c>
      <c r="AL141" s="159">
        <v>11</v>
      </c>
      <c r="AM141" s="159">
        <f t="shared" si="71"/>
        <v>917</v>
      </c>
      <c r="AN141" s="216">
        <f t="shared" si="64"/>
        <v>45850000000</v>
      </c>
      <c r="AO141" s="159" t="s">
        <v>4670</v>
      </c>
      <c r="AQ141" t="s">
        <v>25</v>
      </c>
    </row>
    <row r="142" spans="6:44">
      <c r="G142" s="32">
        <f>(X159+X160)/P51</f>
        <v>369885.91279002663</v>
      </c>
      <c r="H142" s="32" t="s">
        <v>5414</v>
      </c>
      <c r="I142" s="32">
        <f>(X159+X160)/P50</f>
        <v>19425.663045807156</v>
      </c>
      <c r="J142" s="112"/>
      <c r="K142" s="94"/>
      <c r="L142" s="94"/>
      <c r="M142" s="94"/>
      <c r="N142" s="94"/>
      <c r="O142" s="94"/>
      <c r="R142" s="167"/>
      <c r="S142" s="206" t="s">
        <v>7108</v>
      </c>
      <c r="T142" s="206">
        <f>T112-1196</f>
        <v>4</v>
      </c>
      <c r="U142" s="206" t="s">
        <v>7110</v>
      </c>
      <c r="V142" s="206">
        <v>1470</v>
      </c>
      <c r="W142" s="97">
        <f t="shared" si="50"/>
        <v>1496.8546849315071</v>
      </c>
      <c r="X142" s="32">
        <f t="shared" si="72"/>
        <v>1526.7917786301373</v>
      </c>
      <c r="Y142" s="32">
        <f t="shared" si="73"/>
        <v>1556.7288723287675</v>
      </c>
      <c r="Z142" s="475">
        <v>14990</v>
      </c>
      <c r="AA142" s="475"/>
      <c r="AB142" s="475"/>
      <c r="AI142" s="20">
        <v>122</v>
      </c>
      <c r="AJ142" s="115" t="s">
        <v>957</v>
      </c>
      <c r="AK142" s="115">
        <v>30000</v>
      </c>
      <c r="AL142" s="20">
        <v>3</v>
      </c>
      <c r="AM142" s="20">
        <f t="shared" si="71"/>
        <v>906</v>
      </c>
      <c r="AN142" s="115">
        <f t="shared" si="64"/>
        <v>27180000</v>
      </c>
      <c r="AO142" s="20"/>
    </row>
    <row r="143" spans="6:44">
      <c r="G143" s="32">
        <f>X157/P51</f>
        <v>2622755.0203388985</v>
      </c>
      <c r="H143" s="32" t="s">
        <v>480</v>
      </c>
      <c r="I143" s="32">
        <f>X157/P50</f>
        <v>137741.81042067596</v>
      </c>
      <c r="J143" s="112"/>
      <c r="K143" s="94"/>
      <c r="L143" s="94"/>
      <c r="N143" s="94"/>
      <c r="R143" s="167"/>
      <c r="S143" s="206" t="s">
        <v>7111</v>
      </c>
      <c r="T143" s="206">
        <f>T112-1197</f>
        <v>3</v>
      </c>
      <c r="U143" s="206" t="s">
        <v>7112</v>
      </c>
      <c r="V143" s="206">
        <v>1480</v>
      </c>
      <c r="W143" s="97">
        <f t="shared" si="50"/>
        <v>1505.9020273972603</v>
      </c>
      <c r="X143" s="32">
        <f t="shared" si="72"/>
        <v>1536.0200679452055</v>
      </c>
      <c r="Y143" s="32">
        <f t="shared" si="73"/>
        <v>1566.1381084931509</v>
      </c>
      <c r="Z143" s="482">
        <v>27434</v>
      </c>
      <c r="AA143" s="482"/>
      <c r="AB143" s="482"/>
      <c r="AI143" s="20">
        <v>123</v>
      </c>
      <c r="AJ143" s="115" t="s">
        <v>4725</v>
      </c>
      <c r="AK143" s="115">
        <v>600000</v>
      </c>
      <c r="AL143" s="20">
        <v>1</v>
      </c>
      <c r="AM143" s="20">
        <f t="shared" si="71"/>
        <v>903</v>
      </c>
      <c r="AN143" s="115">
        <f t="shared" si="64"/>
        <v>541800000</v>
      </c>
      <c r="AO143" s="20"/>
    </row>
    <row r="144" spans="6:44">
      <c r="G144" s="32">
        <f>G141-G142-G143</f>
        <v>4605868.1507751849</v>
      </c>
      <c r="H144" s="32" t="s">
        <v>5</v>
      </c>
      <c r="I144" s="32">
        <f>I141-I142-I143</f>
        <v>241890.91727092693</v>
      </c>
      <c r="J144" s="112"/>
      <c r="K144" s="94"/>
      <c r="L144" s="94"/>
      <c r="M144" t="s">
        <v>25</v>
      </c>
      <c r="N144" s="94"/>
      <c r="R144" s="167"/>
      <c r="S144" s="206" t="s">
        <v>7113</v>
      </c>
      <c r="T144" s="206">
        <f>T112-1199</f>
        <v>1</v>
      </c>
      <c r="U144" s="206" t="s">
        <v>7115</v>
      </c>
      <c r="V144" s="206">
        <v>1451</v>
      </c>
      <c r="W144" s="97">
        <f t="shared" si="50"/>
        <v>1474.1682958904109</v>
      </c>
      <c r="X144" s="32">
        <f t="shared" si="72"/>
        <v>1503.6516618082192</v>
      </c>
      <c r="Y144" s="32">
        <f t="shared" si="73"/>
        <v>1533.1350277260274</v>
      </c>
      <c r="Z144" s="482">
        <v>20346</v>
      </c>
      <c r="AA144" s="482"/>
      <c r="AB144" s="482"/>
      <c r="AI144" s="20">
        <v>124</v>
      </c>
      <c r="AJ144" s="115" t="s">
        <v>4728</v>
      </c>
      <c r="AK144" s="115">
        <v>30000</v>
      </c>
      <c r="AL144" s="20">
        <v>3</v>
      </c>
      <c r="AM144" s="20">
        <f t="shared" si="71"/>
        <v>902</v>
      </c>
      <c r="AN144" s="115">
        <f t="shared" si="64"/>
        <v>27060000</v>
      </c>
      <c r="AO144" s="20"/>
    </row>
    <row r="145" spans="5:45">
      <c r="N145" s="94"/>
      <c r="P145" t="s">
        <v>25</v>
      </c>
      <c r="R145" s="167"/>
      <c r="S145" s="206" t="s">
        <v>7117</v>
      </c>
      <c r="T145" s="206">
        <f>T112-1200</f>
        <v>0</v>
      </c>
      <c r="U145" s="206" t="s">
        <v>7120</v>
      </c>
      <c r="V145" s="206">
        <v>1445</v>
      </c>
      <c r="W145" s="97">
        <f t="shared" si="50"/>
        <v>1466.9640000000002</v>
      </c>
      <c r="X145" s="32">
        <f t="shared" si="72"/>
        <v>1496.3032800000001</v>
      </c>
      <c r="Y145" s="32">
        <f t="shared" si="73"/>
        <v>1525.6425600000002</v>
      </c>
      <c r="Z145" s="482">
        <v>120744</v>
      </c>
      <c r="AA145" s="482"/>
      <c r="AB145" s="482"/>
      <c r="AC145" t="s">
        <v>25</v>
      </c>
      <c r="AI145" s="20">
        <v>125</v>
      </c>
      <c r="AJ145" s="115" t="s">
        <v>4734</v>
      </c>
      <c r="AK145" s="115">
        <v>2250000</v>
      </c>
      <c r="AL145" s="20">
        <v>1</v>
      </c>
      <c r="AM145" s="20">
        <f t="shared" si="71"/>
        <v>899</v>
      </c>
      <c r="AN145" s="115">
        <f>AK145*AM145</f>
        <v>2022750000</v>
      </c>
      <c r="AO145" s="20"/>
      <c r="AS145" t="s">
        <v>25</v>
      </c>
    </row>
    <row r="146" spans="5:45">
      <c r="N146" s="94"/>
      <c r="Q146" s="112"/>
      <c r="R146" s="167"/>
      <c r="S146" s="206"/>
      <c r="T146" s="206"/>
      <c r="U146" s="206"/>
      <c r="V146" s="206"/>
      <c r="W146" s="97"/>
      <c r="X146" s="32"/>
      <c r="Y146" s="32"/>
      <c r="Z146" s="473"/>
      <c r="AA146" s="473"/>
      <c r="AB146" s="473"/>
      <c r="AC146" s="94"/>
      <c r="AI146" s="23">
        <v>126</v>
      </c>
      <c r="AJ146" s="35" t="s">
        <v>4739</v>
      </c>
      <c r="AK146" s="35">
        <v>-31412200</v>
      </c>
      <c r="AL146" s="23">
        <v>1</v>
      </c>
      <c r="AM146" s="20">
        <f t="shared" si="71"/>
        <v>898</v>
      </c>
      <c r="AN146" s="35">
        <f>AK146*AM146</f>
        <v>-28208155600</v>
      </c>
      <c r="AO146" s="23" t="s">
        <v>4727</v>
      </c>
    </row>
    <row r="147" spans="5:45">
      <c r="K147" s="94"/>
      <c r="L147" s="94"/>
      <c r="R147" s="167"/>
      <c r="S147" s="206"/>
      <c r="T147" s="206" t="s">
        <v>25</v>
      </c>
      <c r="U147" s="206" t="s">
        <v>25</v>
      </c>
      <c r="V147" s="206"/>
      <c r="W147" s="97" t="e">
        <f>V147*(1+$S$108+$R$15*T147/36500)</f>
        <v>#VALUE!</v>
      </c>
      <c r="X147" s="32" t="e">
        <f t="shared" si="72"/>
        <v>#VALUE!</v>
      </c>
      <c r="Y147" s="32" t="e">
        <f t="shared" si="73"/>
        <v>#VALUE!</v>
      </c>
      <c r="Z147" s="94"/>
      <c r="AA147" s="94" t="s">
        <v>25</v>
      </c>
      <c r="AB147" s="352"/>
      <c r="AC147" s="94"/>
      <c r="AI147" s="20">
        <v>127</v>
      </c>
      <c r="AJ147" s="115" t="s">
        <v>4748</v>
      </c>
      <c r="AK147" s="115">
        <v>70000</v>
      </c>
      <c r="AL147" s="20">
        <v>9</v>
      </c>
      <c r="AM147" s="20">
        <f t="shared" si="71"/>
        <v>897</v>
      </c>
      <c r="AN147" s="115">
        <f>AK147*AM147</f>
        <v>62790000</v>
      </c>
      <c r="AO147" s="20"/>
    </row>
    <row r="148" spans="5:45">
      <c r="R148" s="167"/>
      <c r="S148" s="166"/>
      <c r="T148" s="166"/>
      <c r="U148" s="166" t="s">
        <v>25</v>
      </c>
      <c r="V148" s="166"/>
      <c r="W148" s="97">
        <f>V148*(1+$S$108+$R$15*T148/36500)</f>
        <v>0</v>
      </c>
      <c r="X148" s="32">
        <f t="shared" si="69"/>
        <v>0</v>
      </c>
      <c r="Y148" s="32">
        <f t="shared" si="70"/>
        <v>0</v>
      </c>
      <c r="Z148" t="s">
        <v>25</v>
      </c>
      <c r="AA148" t="s">
        <v>25</v>
      </c>
      <c r="AB148" s="94" t="s">
        <v>25</v>
      </c>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11">
        <f>SUM(N49:N56)-SUM(R112:R148)</f>
        <v>4789631318.9686699</v>
      </c>
      <c r="S149" s="110"/>
      <c r="T149" s="110"/>
      <c r="U149" s="110"/>
      <c r="V149" s="166"/>
      <c r="W149" s="97" t="s">
        <v>25</v>
      </c>
      <c r="X149" s="32"/>
      <c r="Y149" s="32"/>
      <c r="Z149" t="s">
        <v>25</v>
      </c>
      <c r="AA149" t="s">
        <v>25</v>
      </c>
      <c r="AB149" s="94" t="s">
        <v>25</v>
      </c>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s="26"/>
      <c r="S150" s="179"/>
      <c r="T150" s="179"/>
      <c r="U150" t="s">
        <v>25</v>
      </c>
      <c r="V150" s="94" t="s">
        <v>25</v>
      </c>
      <c r="W150" s="94" t="s">
        <v>25</v>
      </c>
      <c r="X150" s="94" t="s">
        <v>25</v>
      </c>
      <c r="Z150" t="s">
        <v>25</v>
      </c>
      <c r="AA150" t="s">
        <v>25</v>
      </c>
      <c r="AB150" s="94"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S151" s="32" t="s">
        <v>4511</v>
      </c>
      <c r="T151" s="32" t="s">
        <v>933</v>
      </c>
      <c r="U151" t="s">
        <v>25</v>
      </c>
      <c r="V151" s="94" t="s">
        <v>25</v>
      </c>
      <c r="W151" s="94" t="s">
        <v>25</v>
      </c>
      <c r="X151" s="94" t="s">
        <v>25</v>
      </c>
      <c r="Y151" s="120" t="s">
        <v>25</v>
      </c>
      <c r="Z151" t="s">
        <v>25</v>
      </c>
      <c r="AA151" t="s">
        <v>25</v>
      </c>
      <c r="AB151" s="94"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S152" s="32">
        <v>33288</v>
      </c>
      <c r="T152" s="167">
        <v>152128600.70081395</v>
      </c>
      <c r="U152" t="s">
        <v>25</v>
      </c>
      <c r="V152" s="94" t="s">
        <v>25</v>
      </c>
      <c r="W152" s="120" t="s">
        <v>25</v>
      </c>
      <c r="X152" s="94" t="s">
        <v>25</v>
      </c>
      <c r="Y152" t="s">
        <v>25</v>
      </c>
      <c r="Z152" t="s">
        <v>25</v>
      </c>
      <c r="AA152" t="s">
        <v>25</v>
      </c>
      <c r="AB152"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R153" t="s">
        <v>25</v>
      </c>
      <c r="S153" s="32">
        <v>9243</v>
      </c>
      <c r="T153" s="1">
        <f>T152*S153/S152</f>
        <v>42241187.7036056</v>
      </c>
      <c r="U153" s="112" t="s">
        <v>25</v>
      </c>
      <c r="V153" s="94" t="s">
        <v>25</v>
      </c>
      <c r="W153" s="120" t="s">
        <v>25</v>
      </c>
      <c r="X153" s="94" t="s">
        <v>25</v>
      </c>
      <c r="Y153" t="s">
        <v>25</v>
      </c>
      <c r="Z153" t="s">
        <v>25</v>
      </c>
      <c r="AA153" t="s">
        <v>25</v>
      </c>
      <c r="AB153"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S154" s="32">
        <f>S152-S153</f>
        <v>24045</v>
      </c>
      <c r="T154" s="1">
        <f>S154*T152/S152</f>
        <v>109887412.99720834</v>
      </c>
      <c r="U154" t="s">
        <v>25</v>
      </c>
      <c r="V154" s="120" t="s">
        <v>25</v>
      </c>
      <c r="W154" s="94"/>
      <c r="X154" s="120" t="s">
        <v>25</v>
      </c>
      <c r="Y154" t="s">
        <v>25</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U155" t="s">
        <v>25</v>
      </c>
      <c r="W155" s="94"/>
      <c r="X155"/>
      <c r="Y155" t="s">
        <v>25</v>
      </c>
      <c r="Z155" t="s">
        <v>25</v>
      </c>
      <c r="AA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R156" s="94" t="s">
        <v>25</v>
      </c>
      <c r="S156" s="94"/>
      <c r="T156" s="94"/>
      <c r="U156" s="94"/>
      <c r="V156" s="279" t="s">
        <v>4405</v>
      </c>
      <c r="W156" s="279" t="s">
        <v>4418</v>
      </c>
      <c r="X156" s="279" t="s">
        <v>4419</v>
      </c>
      <c r="Y156" t="s">
        <v>25</v>
      </c>
      <c r="Z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s="94"/>
      <c r="S157" s="94"/>
      <c r="T157" s="94"/>
      <c r="U157" s="120">
        <f>W158-W163</f>
        <v>2615607</v>
      </c>
      <c r="V157" s="279" t="s">
        <v>743</v>
      </c>
      <c r="W157" s="279">
        <v>1495942</v>
      </c>
      <c r="X157" s="88">
        <f>W157*$U$539</f>
        <v>3829222329.6947918</v>
      </c>
      <c r="Y157">
        <f>X157*100/$X$163</f>
        <v>34.608090972837381</v>
      </c>
      <c r="Z157" t="s">
        <v>25</v>
      </c>
      <c r="AA157" t="s">
        <v>25</v>
      </c>
      <c r="AB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R158" t="s">
        <v>25</v>
      </c>
      <c r="U158" s="120"/>
      <c r="V158" s="279" t="s">
        <v>4407</v>
      </c>
      <c r="W158" s="279">
        <v>2615607</v>
      </c>
      <c r="X158" s="88">
        <f>W158*$U$539</f>
        <v>6695273433.1317692</v>
      </c>
      <c r="Y158" s="94">
        <f>X158*100/$X$163</f>
        <v>60.511146157531677</v>
      </c>
      <c r="Z158" t="s">
        <v>25</v>
      </c>
      <c r="AA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t="s">
        <v>25</v>
      </c>
      <c r="T159" t="s">
        <v>25</v>
      </c>
      <c r="U159" s="94">
        <f>W157+2857</f>
        <v>1498799</v>
      </c>
      <c r="V159" s="279" t="s">
        <v>4406</v>
      </c>
      <c r="W159" s="279">
        <v>48659</v>
      </c>
      <c r="X159" s="88">
        <f>W159*$U$539</f>
        <v>124554380.6782742</v>
      </c>
      <c r="Y159" s="94">
        <f>X159*100/$X$163</f>
        <v>1.1257088166835973</v>
      </c>
      <c r="Z159" t="s">
        <v>25</v>
      </c>
      <c r="AB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t="s">
        <v>25</v>
      </c>
      <c r="U160" s="94"/>
      <c r="V160" s="279" t="s">
        <v>1069</v>
      </c>
      <c r="W160" s="279">
        <v>162313</v>
      </c>
      <c r="X160" s="88">
        <f>W160*$U$539</f>
        <v>415479051.99516475</v>
      </c>
      <c r="Y160" s="94">
        <f>X160*100/$X$163</f>
        <v>3.7550540529473424</v>
      </c>
      <c r="AA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U161" s="94">
        <f>W160+2977</f>
        <v>165290</v>
      </c>
      <c r="V161" s="279"/>
      <c r="W161" s="279"/>
      <c r="X161" s="279"/>
      <c r="Y161" s="113"/>
      <c r="Z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R162" t="s">
        <v>25</v>
      </c>
      <c r="T162" t="s">
        <v>25</v>
      </c>
      <c r="U162" s="94"/>
      <c r="V162" s="87"/>
      <c r="W162" s="87">
        <f>SUM(W157:W160)</f>
        <v>4322521</v>
      </c>
      <c r="X162" s="87"/>
      <c r="Y162" s="112" t="s">
        <v>25</v>
      </c>
      <c r="Z162" t="s">
        <v>25</v>
      </c>
      <c r="AA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s="94" t="s">
        <v>25</v>
      </c>
      <c r="S163" s="94"/>
      <c r="T163" s="94" t="s">
        <v>25</v>
      </c>
      <c r="U163" s="94" t="s">
        <v>25</v>
      </c>
      <c r="V163" s="87"/>
      <c r="W163" s="87">
        <f>W162-V536</f>
        <v>0</v>
      </c>
      <c r="X163" s="140">
        <f>SUM(X157:X160)</f>
        <v>11064529195.5</v>
      </c>
      <c r="Y163" s="94"/>
      <c r="Z163" t="s">
        <v>25</v>
      </c>
      <c r="AA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s="94"/>
      <c r="S164" s="94"/>
      <c r="T164" s="94"/>
      <c r="U164" s="94" t="s">
        <v>25</v>
      </c>
      <c r="V164" s="87"/>
      <c r="W164" s="87" t="s">
        <v>5807</v>
      </c>
      <c r="X164" s="140">
        <f>S175-X160</f>
        <v>74732243.904835224</v>
      </c>
      <c r="Y164" s="94"/>
      <c r="Z164" t="s">
        <v>25</v>
      </c>
      <c r="AA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t="s">
        <v>25</v>
      </c>
      <c r="S165" s="94"/>
      <c r="T165" s="94"/>
      <c r="U165" s="94" t="s">
        <v>25</v>
      </c>
      <c r="V165" s="87"/>
      <c r="W165" s="87" t="s">
        <v>5806</v>
      </c>
      <c r="X165" s="140">
        <f>X159-X164</f>
        <v>49822136.773438975</v>
      </c>
      <c r="Y165" s="94"/>
      <c r="AA165" t="s">
        <v>25</v>
      </c>
      <c r="AB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t="s">
        <v>25</v>
      </c>
      <c r="S166" s="94"/>
      <c r="T166" s="94" t="s">
        <v>25</v>
      </c>
      <c r="U166" s="94"/>
      <c r="V166" s="87"/>
      <c r="W166" s="87" t="s">
        <v>4913</v>
      </c>
      <c r="X166" s="140">
        <f>X157+X165-S174</f>
        <v>-57219162.531769276</v>
      </c>
      <c r="Y166" s="94"/>
      <c r="Z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c r="S167" s="94"/>
      <c r="T167" s="94"/>
      <c r="U167" s="94"/>
      <c r="V167" s="87"/>
      <c r="W167" s="87"/>
      <c r="X167" s="140"/>
      <c r="Y167" s="113"/>
      <c r="Z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4"/>
      <c r="W168" s="94"/>
      <c r="Z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c r="S169" s="94"/>
      <c r="T169" s="94"/>
      <c r="U169" s="94" t="s">
        <v>25</v>
      </c>
      <c r="W169" s="94"/>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T170" s="94" t="s">
        <v>25</v>
      </c>
      <c r="U170" s="94"/>
      <c r="W170" s="94"/>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R171" s="94"/>
      <c r="S171" s="94"/>
      <c r="T171" s="94"/>
      <c r="U171" s="97" t="s">
        <v>180</v>
      </c>
      <c r="V171" s="97" t="s">
        <v>4431</v>
      </c>
      <c r="W171" s="97" t="s">
        <v>4432</v>
      </c>
      <c r="X171" s="97" t="s">
        <v>4442</v>
      </c>
      <c r="Y171" s="97" t="s">
        <v>8</v>
      </c>
      <c r="Z171" t="s">
        <v>25</v>
      </c>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R172" s="94"/>
      <c r="S172" s="94"/>
      <c r="T172" s="94"/>
      <c r="U172" s="111" t="s">
        <v>4417</v>
      </c>
      <c r="V172" s="54">
        <v>1000000</v>
      </c>
      <c r="W172" s="111">
        <v>239.024</v>
      </c>
      <c r="X172" s="111">
        <f t="shared" ref="X172:X273" si="79">V172*W172</f>
        <v>239024000</v>
      </c>
      <c r="Y172" s="97"/>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36" t="s">
        <v>4510</v>
      </c>
      <c r="S173" s="93">
        <f>SUM(N48:N56)</f>
        <v>6667348337.6000004</v>
      </c>
      <c r="U173" s="166" t="s">
        <v>4399</v>
      </c>
      <c r="V173" s="54">
        <v>5904</v>
      </c>
      <c r="W173" s="111">
        <v>237.148</v>
      </c>
      <c r="X173" s="111">
        <f t="shared" si="79"/>
        <v>1400121.7919999999</v>
      </c>
      <c r="Y173" s="97" t="s">
        <v>743</v>
      </c>
      <c r="AA173" t="s">
        <v>25</v>
      </c>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97" t="s">
        <v>4408</v>
      </c>
      <c r="S174" s="93">
        <f>SUM(N27:N32)</f>
        <v>3936263629</v>
      </c>
      <c r="U174" s="166" t="s">
        <v>4205</v>
      </c>
      <c r="V174" s="166">
        <v>1000</v>
      </c>
      <c r="W174" s="111">
        <v>247.393</v>
      </c>
      <c r="X174" s="111">
        <f t="shared" si="79"/>
        <v>247393</v>
      </c>
      <c r="Y174" s="97" t="s">
        <v>743</v>
      </c>
      <c r="Z174" t="s">
        <v>25</v>
      </c>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97" t="s">
        <v>4409</v>
      </c>
      <c r="S175" s="93">
        <f>SUM(N35:N36)</f>
        <v>490211295.89999998</v>
      </c>
      <c r="U175" s="380" t="s">
        <v>4443</v>
      </c>
      <c r="V175" s="380">
        <v>8071</v>
      </c>
      <c r="W175" s="90">
        <v>247.797</v>
      </c>
      <c r="X175" s="90">
        <f t="shared" si="79"/>
        <v>1999969.5870000001</v>
      </c>
      <c r="Y175" s="89" t="s">
        <v>4406</v>
      </c>
      <c r="Z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t="s">
        <v>4410</v>
      </c>
      <c r="S176" s="93">
        <f>N47</f>
        <v>62</v>
      </c>
      <c r="U176" s="166" t="s">
        <v>4443</v>
      </c>
      <c r="V176" s="166">
        <v>53672</v>
      </c>
      <c r="W176" s="111">
        <v>247.797</v>
      </c>
      <c r="X176" s="111">
        <f t="shared" si="79"/>
        <v>13299760.584000001</v>
      </c>
      <c r="Y176" s="97" t="s">
        <v>452</v>
      </c>
      <c r="Z176" t="s">
        <v>25</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4411</v>
      </c>
      <c r="S177" s="93">
        <f>N26</f>
        <v>275</v>
      </c>
      <c r="U177" s="380" t="s">
        <v>4451</v>
      </c>
      <c r="V177" s="380">
        <v>4099</v>
      </c>
      <c r="W177" s="90">
        <v>243.93</v>
      </c>
      <c r="X177" s="90">
        <f t="shared" si="79"/>
        <v>999869.07000000007</v>
      </c>
      <c r="Y177" s="89" t="s">
        <v>4406</v>
      </c>
      <c r="AB177"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t="s">
        <v>4412</v>
      </c>
      <c r="S178" s="93">
        <f>N34</f>
        <v>169</v>
      </c>
      <c r="U178" s="166" t="s">
        <v>4451</v>
      </c>
      <c r="V178" s="166">
        <v>9301</v>
      </c>
      <c r="W178" s="111">
        <v>243.93</v>
      </c>
      <c r="X178" s="111">
        <f t="shared" si="79"/>
        <v>2268792.9300000002</v>
      </c>
      <c r="Y178" s="97" t="s">
        <v>452</v>
      </c>
      <c r="AA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c r="S179" s="93"/>
      <c r="T179" t="s">
        <v>25</v>
      </c>
      <c r="U179" s="380" t="s">
        <v>4455</v>
      </c>
      <c r="V179" s="380">
        <v>8334</v>
      </c>
      <c r="W179" s="90">
        <v>239.97</v>
      </c>
      <c r="X179" s="90">
        <f t="shared" si="79"/>
        <v>1999909.98</v>
      </c>
      <c r="Y179" s="89" t="s">
        <v>4406</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5044</v>
      </c>
      <c r="S180" s="93">
        <v>0</v>
      </c>
      <c r="U180" s="166" t="s">
        <v>4204</v>
      </c>
      <c r="V180" s="166">
        <v>29041</v>
      </c>
      <c r="W180" s="111">
        <v>233.45</v>
      </c>
      <c r="X180" s="111">
        <f t="shared" si="79"/>
        <v>6779621.4499999993</v>
      </c>
      <c r="Y180" s="97" t="s">
        <v>743</v>
      </c>
      <c r="Z180" s="120" t="s">
        <v>25</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t="s">
        <v>7081</v>
      </c>
      <c r="S181" s="93">
        <v>-2593</v>
      </c>
      <c r="T181" s="94"/>
      <c r="U181" s="380" t="s">
        <v>977</v>
      </c>
      <c r="V181" s="380">
        <v>12337</v>
      </c>
      <c r="W181" s="90">
        <v>243.16300000000001</v>
      </c>
      <c r="X181" s="90">
        <f t="shared" si="79"/>
        <v>2999901.9310000003</v>
      </c>
      <c r="Y181" s="89" t="s">
        <v>4406</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7107</v>
      </c>
      <c r="S182" s="93">
        <f>-(8479*P51)</f>
        <v>-12379340</v>
      </c>
      <c r="T182" s="94"/>
      <c r="U182" s="166" t="s">
        <v>4528</v>
      </c>
      <c r="V182" s="166">
        <v>-16118</v>
      </c>
      <c r="W182" s="111">
        <v>248.17</v>
      </c>
      <c r="X182" s="111">
        <f t="shared" si="79"/>
        <v>-4000004.0599999996</v>
      </c>
      <c r="Y182" s="97" t="s">
        <v>743</v>
      </c>
      <c r="Z182" t="s">
        <v>25</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36" t="s">
        <v>7087</v>
      </c>
      <c r="S183" s="93">
        <f>-5000*P51</f>
        <v>-7300000</v>
      </c>
      <c r="T183" s="113" t="s">
        <v>25</v>
      </c>
      <c r="U183" s="166" t="s">
        <v>4549</v>
      </c>
      <c r="V183" s="166">
        <v>101681</v>
      </c>
      <c r="W183" s="111">
        <v>246.5711</v>
      </c>
      <c r="X183" s="111">
        <f t="shared" si="79"/>
        <v>25071596.019099999</v>
      </c>
      <c r="Y183" s="97" t="s">
        <v>452</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97" t="s">
        <v>7118</v>
      </c>
      <c r="S184" s="93">
        <f>-6584*P51</f>
        <v>-9612640</v>
      </c>
      <c r="T184" s="120" t="s">
        <v>25</v>
      </c>
      <c r="U184" s="166" t="s">
        <v>4553</v>
      </c>
      <c r="V184" s="166">
        <v>66606</v>
      </c>
      <c r="W184" s="111">
        <v>251.131</v>
      </c>
      <c r="X184" s="111">
        <f t="shared" si="79"/>
        <v>16726831.386</v>
      </c>
      <c r="Y184" s="97" t="s">
        <v>743</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t="s">
        <v>5045</v>
      </c>
      <c r="S185" s="93">
        <v>0</v>
      </c>
      <c r="T185" s="120"/>
      <c r="U185" s="166" t="s">
        <v>4558</v>
      </c>
      <c r="V185" s="166">
        <v>172025</v>
      </c>
      <c r="W185" s="111">
        <v>245.52809999999999</v>
      </c>
      <c r="X185" s="111">
        <f t="shared" si="79"/>
        <v>42236971.402499996</v>
      </c>
      <c r="Y185" s="97" t="s">
        <v>452</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c r="S186" s="93"/>
      <c r="T186" s="113"/>
      <c r="U186" s="166" t="s">
        <v>4558</v>
      </c>
      <c r="V186" s="166">
        <v>189227</v>
      </c>
      <c r="W186" s="111">
        <v>245.52809999999999</v>
      </c>
      <c r="X186" s="111">
        <f t="shared" si="79"/>
        <v>46460545.778700002</v>
      </c>
      <c r="Y186" s="97" t="s">
        <v>743</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97"/>
      <c r="S187" s="93"/>
      <c r="T187" s="113"/>
      <c r="U187" s="166" t="s">
        <v>4559</v>
      </c>
      <c r="V187" s="166">
        <v>79720</v>
      </c>
      <c r="W187" s="111">
        <v>246.6568</v>
      </c>
      <c r="X187" s="111">
        <f t="shared" si="79"/>
        <v>19663480.096000001</v>
      </c>
      <c r="Y187" s="97" t="s">
        <v>452</v>
      </c>
      <c r="Z187" s="8" t="s">
        <v>25</v>
      </c>
      <c r="AA187" t="s">
        <v>25</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7" t="s">
        <v>4416</v>
      </c>
      <c r="S188" s="93">
        <f>SUM(S173:S187)</f>
        <v>11064529195.5</v>
      </c>
      <c r="U188" s="166" t="s">
        <v>4559</v>
      </c>
      <c r="V188" s="166">
        <v>79720</v>
      </c>
      <c r="W188" s="111">
        <v>246.6568</v>
      </c>
      <c r="X188" s="111">
        <f t="shared" si="79"/>
        <v>19663480.096000001</v>
      </c>
      <c r="Y188" s="97" t="s">
        <v>743</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94"/>
      <c r="U189" s="166" t="s">
        <v>4580</v>
      </c>
      <c r="V189" s="166">
        <v>17769</v>
      </c>
      <c r="W189" s="111">
        <v>246.17877999999999</v>
      </c>
      <c r="X189" s="111">
        <f t="shared" si="79"/>
        <v>4374350.7418200001</v>
      </c>
      <c r="Y189" s="97" t="s">
        <v>743</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U190" s="166" t="s">
        <v>4580</v>
      </c>
      <c r="V190" s="166">
        <v>17769</v>
      </c>
      <c r="W190" s="111">
        <v>246.17877999999999</v>
      </c>
      <c r="X190" s="111">
        <f t="shared" si="79"/>
        <v>4374350.7418200001</v>
      </c>
      <c r="Y190" s="97" t="s">
        <v>452</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R191" s="206" t="s">
        <v>8</v>
      </c>
      <c r="S191" s="206" t="s">
        <v>4406</v>
      </c>
      <c r="T191" s="206"/>
      <c r="U191" s="380" t="s">
        <v>4582</v>
      </c>
      <c r="V191" s="380">
        <v>12438</v>
      </c>
      <c r="W191" s="90">
        <v>241.20465999999999</v>
      </c>
      <c r="X191" s="90">
        <f t="shared" si="79"/>
        <v>3000103.5610799999</v>
      </c>
      <c r="Y191" s="89" t="s">
        <v>4406</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c r="S192" s="71" t="s">
        <v>180</v>
      </c>
      <c r="T192" s="206" t="s">
        <v>267</v>
      </c>
      <c r="U192" s="166" t="s">
        <v>4591</v>
      </c>
      <c r="V192" s="166">
        <v>27363</v>
      </c>
      <c r="W192" s="111">
        <v>239.3886</v>
      </c>
      <c r="X192" s="111">
        <f t="shared" si="79"/>
        <v>6550390.2617999995</v>
      </c>
      <c r="Y192" s="97" t="s">
        <v>743</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206" t="s">
        <v>4399</v>
      </c>
      <c r="T193" s="111">
        <v>3000000</v>
      </c>
      <c r="U193" s="166" t="s">
        <v>4591</v>
      </c>
      <c r="V193" s="166">
        <v>27363</v>
      </c>
      <c r="W193" s="111">
        <v>239.3886</v>
      </c>
      <c r="X193" s="111">
        <f t="shared" si="79"/>
        <v>6550390.2617999995</v>
      </c>
      <c r="Y193" s="97" t="s">
        <v>452</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4443</v>
      </c>
      <c r="T194" s="111">
        <v>2000000</v>
      </c>
      <c r="U194" s="204" t="s">
        <v>4593</v>
      </c>
      <c r="V194" s="204">
        <v>27437</v>
      </c>
      <c r="W194" s="111">
        <v>242.4015</v>
      </c>
      <c r="X194" s="111">
        <f t="shared" si="79"/>
        <v>6650769.9555000002</v>
      </c>
      <c r="Y194" s="97" t="s">
        <v>743</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4451</v>
      </c>
      <c r="T195" s="111">
        <v>1000000</v>
      </c>
      <c r="U195" s="204" t="s">
        <v>4593</v>
      </c>
      <c r="V195" s="204">
        <v>29104</v>
      </c>
      <c r="W195" s="111">
        <v>242.4015</v>
      </c>
      <c r="X195" s="111">
        <f t="shared" si="79"/>
        <v>7054853.2560000001</v>
      </c>
      <c r="Y195" s="97" t="s">
        <v>452</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206" t="s">
        <v>4455</v>
      </c>
      <c r="T196" s="111">
        <v>2000000</v>
      </c>
      <c r="U196" s="206" t="s">
        <v>4606</v>
      </c>
      <c r="V196" s="206">
        <v>8991</v>
      </c>
      <c r="W196" s="111">
        <v>238.64867000000001</v>
      </c>
      <c r="X196" s="111">
        <f t="shared" si="79"/>
        <v>2145690.19197</v>
      </c>
      <c r="Y196" s="97" t="s">
        <v>743</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977</v>
      </c>
      <c r="T197" s="111">
        <v>3000000</v>
      </c>
      <c r="U197" s="206" t="s">
        <v>4606</v>
      </c>
      <c r="V197" s="206">
        <v>8991</v>
      </c>
      <c r="W197" s="111">
        <v>238.64867000000001</v>
      </c>
      <c r="X197" s="111">
        <f t="shared" si="79"/>
        <v>2145690.19197</v>
      </c>
      <c r="Y197" s="97" t="s">
        <v>452</v>
      </c>
      <c r="AI197" s="97">
        <v>177</v>
      </c>
      <c r="AJ197" s="111" t="s">
        <v>5113</v>
      </c>
      <c r="AK197" s="111">
        <v>230000</v>
      </c>
      <c r="AL197" s="97">
        <v>1</v>
      </c>
      <c r="AM197" s="20">
        <f t="shared" si="82"/>
        <v>697</v>
      </c>
      <c r="AN197" s="115">
        <f t="shared" si="83"/>
        <v>160310000</v>
      </c>
      <c r="AO197" s="20"/>
    </row>
    <row r="198" spans="7:46">
      <c r="G198" s="206" t="s">
        <v>5574</v>
      </c>
      <c r="H198" s="111">
        <v>18404699.3442</v>
      </c>
      <c r="R198" s="206"/>
      <c r="S198" s="206" t="s">
        <v>4582</v>
      </c>
      <c r="T198" s="111">
        <v>3000000</v>
      </c>
      <c r="U198" s="206" t="s">
        <v>4617</v>
      </c>
      <c r="V198" s="206">
        <v>18170</v>
      </c>
      <c r="W198" s="111">
        <v>240.48475999999999</v>
      </c>
      <c r="X198" s="111">
        <f t="shared" si="79"/>
        <v>4369608.0892000003</v>
      </c>
      <c r="Y198" s="97" t="s">
        <v>743</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t="s">
        <v>4744</v>
      </c>
      <c r="S199" s="206" t="s">
        <v>4739</v>
      </c>
      <c r="T199" s="111">
        <v>-800000</v>
      </c>
      <c r="U199" s="206" t="s">
        <v>4617</v>
      </c>
      <c r="V199" s="206">
        <v>18170</v>
      </c>
      <c r="W199" s="111">
        <v>240.48475999999999</v>
      </c>
      <c r="X199" s="111">
        <f t="shared" si="79"/>
        <v>4369608.0892000003</v>
      </c>
      <c r="Y199" s="97" t="s">
        <v>452</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t="s">
        <v>4745</v>
      </c>
      <c r="S200" s="206" t="s">
        <v>4739</v>
      </c>
      <c r="T200" s="111">
        <v>-900000</v>
      </c>
      <c r="U200" s="206" t="s">
        <v>4619</v>
      </c>
      <c r="V200" s="206">
        <v>36797</v>
      </c>
      <c r="W200" s="111">
        <v>239.0822</v>
      </c>
      <c r="X200" s="111">
        <f t="shared" si="79"/>
        <v>8797507.7134000007</v>
      </c>
      <c r="Y200" s="97" t="s">
        <v>743</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206" t="s">
        <v>4745</v>
      </c>
      <c r="S201" s="206" t="s">
        <v>964</v>
      </c>
      <c r="T201" s="111">
        <v>-1100000</v>
      </c>
      <c r="U201" s="206" t="s">
        <v>4619</v>
      </c>
      <c r="V201" s="206">
        <v>36797</v>
      </c>
      <c r="W201" s="111">
        <v>239.0822</v>
      </c>
      <c r="X201" s="111">
        <f t="shared" si="79"/>
        <v>8797507.7134000007</v>
      </c>
      <c r="Y201" s="97" t="s">
        <v>452</v>
      </c>
      <c r="AA201" t="s">
        <v>25</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188" t="s">
        <v>1069</v>
      </c>
      <c r="S202" s="188" t="s">
        <v>4767</v>
      </c>
      <c r="T202" s="193">
        <v>30000000</v>
      </c>
      <c r="U202" s="206" t="s">
        <v>4628</v>
      </c>
      <c r="V202" s="206">
        <v>28066</v>
      </c>
      <c r="W202" s="111">
        <v>237.56970000000001</v>
      </c>
      <c r="X202" s="111">
        <f t="shared" si="79"/>
        <v>6667631.2002000008</v>
      </c>
      <c r="Y202" s="97" t="s">
        <v>743</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19" t="s">
        <v>4842</v>
      </c>
      <c r="S203" s="19" t="s">
        <v>4840</v>
      </c>
      <c r="T203" s="115">
        <v>2000000</v>
      </c>
      <c r="U203" s="206" t="s">
        <v>4628</v>
      </c>
      <c r="V203" s="206">
        <v>28066</v>
      </c>
      <c r="W203" s="111">
        <v>237.56970000000001</v>
      </c>
      <c r="X203" s="111">
        <f t="shared" si="79"/>
        <v>6667631.2002000008</v>
      </c>
      <c r="Y203" s="97" t="s">
        <v>452</v>
      </c>
      <c r="Z203" t="s">
        <v>25</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87" t="s">
        <v>4863</v>
      </c>
      <c r="S204" s="187" t="s">
        <v>4862</v>
      </c>
      <c r="T204" s="186">
        <v>480105</v>
      </c>
      <c r="U204" s="206" t="s">
        <v>3666</v>
      </c>
      <c r="V204" s="206">
        <v>37457</v>
      </c>
      <c r="W204" s="111">
        <v>239.77</v>
      </c>
      <c r="X204" s="111">
        <f t="shared" si="79"/>
        <v>8981064.8900000006</v>
      </c>
      <c r="Y204" s="97" t="s">
        <v>743</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87"/>
      <c r="S205" s="187" t="s">
        <v>4903</v>
      </c>
      <c r="T205" s="186">
        <v>30500000</v>
      </c>
      <c r="U205" s="206" t="s">
        <v>3666</v>
      </c>
      <c r="V205" s="206">
        <v>37457</v>
      </c>
      <c r="W205" s="111">
        <v>239.77</v>
      </c>
      <c r="X205" s="111">
        <f t="shared" si="79"/>
        <v>8981064.8900000006</v>
      </c>
      <c r="Y205" s="97" t="s">
        <v>452</v>
      </c>
      <c r="Z205" s="94" t="s">
        <v>25</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9" t="s">
        <v>4931</v>
      </c>
      <c r="S206" s="19" t="s">
        <v>4926</v>
      </c>
      <c r="T206" s="115">
        <v>-400000</v>
      </c>
      <c r="U206" s="206" t="s">
        <v>4640</v>
      </c>
      <c r="V206" s="206">
        <v>38412</v>
      </c>
      <c r="W206" s="111">
        <v>239.03</v>
      </c>
      <c r="X206" s="111">
        <f t="shared" si="79"/>
        <v>9181620.3599999994</v>
      </c>
      <c r="Y206" s="97" t="s">
        <v>743</v>
      </c>
      <c r="Z206" t="s">
        <v>25</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87" t="s">
        <v>5040</v>
      </c>
      <c r="S207" s="187" t="s">
        <v>4961</v>
      </c>
      <c r="T207" s="186">
        <v>-349550</v>
      </c>
      <c r="U207" s="206" t="s">
        <v>4640</v>
      </c>
      <c r="V207" s="206">
        <v>38412</v>
      </c>
      <c r="W207" s="111">
        <v>239.03</v>
      </c>
      <c r="X207" s="111">
        <f t="shared" si="79"/>
        <v>9181620.3599999994</v>
      </c>
      <c r="Y207" s="97" t="s">
        <v>452</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9" t="s">
        <v>4931</v>
      </c>
      <c r="S208" s="19" t="s">
        <v>5101</v>
      </c>
      <c r="T208" s="115">
        <v>-200000</v>
      </c>
      <c r="U208" s="206" t="s">
        <v>4643</v>
      </c>
      <c r="V208" s="206">
        <v>49555</v>
      </c>
      <c r="W208" s="111">
        <v>238.345</v>
      </c>
      <c r="X208" s="111">
        <f t="shared" si="79"/>
        <v>11811186.475</v>
      </c>
      <c r="Y208" s="97" t="s">
        <v>743</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9" t="s">
        <v>4931</v>
      </c>
      <c r="S209" s="19" t="s">
        <v>5133</v>
      </c>
      <c r="T209" s="115">
        <v>-122000</v>
      </c>
      <c r="U209" s="206" t="s">
        <v>4643</v>
      </c>
      <c r="V209" s="206">
        <v>49555</v>
      </c>
      <c r="W209" s="111">
        <v>238.345</v>
      </c>
      <c r="X209" s="111">
        <f t="shared" si="79"/>
        <v>11811186.475</v>
      </c>
      <c r="Y209" s="97" t="s">
        <v>452</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5141</v>
      </c>
      <c r="T210" s="115">
        <v>-700000</v>
      </c>
      <c r="U210" s="206" t="s">
        <v>4656</v>
      </c>
      <c r="V210" s="206">
        <v>160187</v>
      </c>
      <c r="W210" s="111">
        <v>257.49799999999999</v>
      </c>
      <c r="X210" s="111">
        <f t="shared" si="79"/>
        <v>41247832.126000002</v>
      </c>
      <c r="Y210" s="97" t="s">
        <v>743</v>
      </c>
      <c r="Z210" t="s">
        <v>25</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4931</v>
      </c>
      <c r="S211" s="19" t="s">
        <v>5151</v>
      </c>
      <c r="T211" s="115">
        <v>-60000</v>
      </c>
      <c r="U211" s="206" t="s">
        <v>4656</v>
      </c>
      <c r="V211" s="206">
        <v>160187</v>
      </c>
      <c r="W211" s="111">
        <v>257.49799999999999</v>
      </c>
      <c r="X211" s="111">
        <f t="shared" si="79"/>
        <v>41247832.126000002</v>
      </c>
      <c r="Y211" s="97" t="s">
        <v>452</v>
      </c>
      <c r="AB211" t="s">
        <v>25</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9" t="s">
        <v>4406</v>
      </c>
      <c r="S212" s="19" t="s">
        <v>5210</v>
      </c>
      <c r="T212" s="115">
        <v>700000</v>
      </c>
      <c r="U212" s="206" t="s">
        <v>4663</v>
      </c>
      <c r="V212" s="206">
        <v>144401</v>
      </c>
      <c r="W212" s="111">
        <v>258.5061</v>
      </c>
      <c r="X212" s="111">
        <f t="shared" si="79"/>
        <v>37328539.346100003</v>
      </c>
      <c r="Y212" s="97" t="s">
        <v>743</v>
      </c>
      <c r="AA212" t="s">
        <v>25</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87" t="s">
        <v>1069</v>
      </c>
      <c r="S213" s="187" t="s">
        <v>5229</v>
      </c>
      <c r="T213" s="186">
        <v>40000000</v>
      </c>
      <c r="U213" s="206" t="s">
        <v>4663</v>
      </c>
      <c r="V213" s="206">
        <v>144401</v>
      </c>
      <c r="W213" s="111">
        <v>258.5061</v>
      </c>
      <c r="X213" s="111">
        <f t="shared" si="79"/>
        <v>37328539.346100003</v>
      </c>
      <c r="Y213" s="97" t="s">
        <v>452</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9" t="s">
        <v>4406</v>
      </c>
      <c r="S214" s="19" t="s">
        <v>5233</v>
      </c>
      <c r="T214" s="115">
        <v>-800000</v>
      </c>
      <c r="U214" s="166" t="s">
        <v>4669</v>
      </c>
      <c r="V214" s="166">
        <v>196500</v>
      </c>
      <c r="W214" s="111">
        <v>254.452</v>
      </c>
      <c r="X214" s="111">
        <f t="shared" si="79"/>
        <v>49999818</v>
      </c>
      <c r="Y214" s="97" t="s">
        <v>4671</v>
      </c>
      <c r="Z214" t="s">
        <v>25</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206" t="s">
        <v>4406</v>
      </c>
      <c r="S215" s="206" t="s">
        <v>5315</v>
      </c>
      <c r="T215" s="115">
        <v>700000</v>
      </c>
      <c r="U215" s="206" t="s">
        <v>4669</v>
      </c>
      <c r="V215" s="206">
        <v>2561</v>
      </c>
      <c r="W215" s="111">
        <v>254.536</v>
      </c>
      <c r="X215" s="111">
        <f t="shared" si="79"/>
        <v>651866.696</v>
      </c>
      <c r="Y215" s="97" t="s">
        <v>4672</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187" t="s">
        <v>5331</v>
      </c>
      <c r="S216" s="187" t="s">
        <v>5329</v>
      </c>
      <c r="T216" s="186">
        <v>-26000000</v>
      </c>
      <c r="U216" s="206" t="s">
        <v>4711</v>
      </c>
      <c r="V216" s="206">
        <v>-11795</v>
      </c>
      <c r="W216" s="111">
        <v>254.334</v>
      </c>
      <c r="X216" s="111">
        <f t="shared" si="79"/>
        <v>-2999869.5300000003</v>
      </c>
      <c r="Y216" s="97" t="s">
        <v>4712</v>
      </c>
      <c r="AB216" t="s">
        <v>25</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5331</v>
      </c>
      <c r="S217" s="187" t="s">
        <v>5333</v>
      </c>
      <c r="T217" s="186">
        <v>-95900000</v>
      </c>
      <c r="U217" s="206" t="s">
        <v>4711</v>
      </c>
      <c r="V217" s="206">
        <v>11795</v>
      </c>
      <c r="W217" s="111">
        <v>254.334</v>
      </c>
      <c r="X217" s="111">
        <f t="shared" si="79"/>
        <v>2999869.5300000003</v>
      </c>
      <c r="Y217" s="97" t="s">
        <v>4713</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87" t="s">
        <v>5331</v>
      </c>
      <c r="S218" s="187" t="s">
        <v>5334</v>
      </c>
      <c r="T218" s="186">
        <v>-28950000</v>
      </c>
      <c r="U218" s="206" t="s">
        <v>4725</v>
      </c>
      <c r="V218" s="206">
        <v>260</v>
      </c>
      <c r="W218" s="111">
        <v>263.19</v>
      </c>
      <c r="X218" s="111">
        <f t="shared" si="79"/>
        <v>68429.399999999994</v>
      </c>
      <c r="Y218" s="97" t="s">
        <v>452</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5350</v>
      </c>
      <c r="S219" s="187" t="s">
        <v>5348</v>
      </c>
      <c r="T219" s="186">
        <v>1896188</v>
      </c>
      <c r="U219" s="206" t="s">
        <v>4734</v>
      </c>
      <c r="V219" s="206">
        <v>15257</v>
      </c>
      <c r="W219" s="111">
        <v>262.19018</v>
      </c>
      <c r="X219" s="111">
        <f t="shared" si="79"/>
        <v>4000235.57626</v>
      </c>
      <c r="Y219" s="97" t="s">
        <v>452</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87" t="s">
        <v>5515</v>
      </c>
      <c r="S220" s="187" t="s">
        <v>4209</v>
      </c>
      <c r="T220" s="186">
        <v>13752871.322800001</v>
      </c>
      <c r="U220" s="206" t="s">
        <v>4734</v>
      </c>
      <c r="V220" s="206">
        <v>8444</v>
      </c>
      <c r="W220" s="111">
        <v>266.43029999999999</v>
      </c>
      <c r="X220" s="111">
        <f t="shared" si="79"/>
        <v>2249737.4531999999</v>
      </c>
      <c r="Y220" s="97" t="s">
        <v>452</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9" t="s">
        <v>5527</v>
      </c>
      <c r="S221" s="19" t="s">
        <v>5524</v>
      </c>
      <c r="T221" s="115">
        <v>3123901.3702000002</v>
      </c>
      <c r="U221" s="380" t="s">
        <v>4739</v>
      </c>
      <c r="V221" s="380">
        <v>-6209</v>
      </c>
      <c r="W221" s="90">
        <v>273.79649999999998</v>
      </c>
      <c r="X221" s="90">
        <f t="shared" si="79"/>
        <v>-1700002.4685</v>
      </c>
      <c r="Y221" s="89" t="s">
        <v>6624</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87" t="s">
        <v>5852</v>
      </c>
      <c r="S222" s="187" t="s">
        <v>5598</v>
      </c>
      <c r="T222" s="186">
        <v>-322076.40905199997</v>
      </c>
      <c r="U222" s="206" t="s">
        <v>4739</v>
      </c>
      <c r="V222" s="206">
        <v>-8014</v>
      </c>
      <c r="W222" s="111">
        <v>273.79649999999998</v>
      </c>
      <c r="X222" s="111">
        <f t="shared" si="79"/>
        <v>-2194205.1510000001</v>
      </c>
      <c r="Y222" s="97" t="s">
        <v>743</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9" t="s">
        <v>4931</v>
      </c>
      <c r="S223" s="19" t="s">
        <v>5598</v>
      </c>
      <c r="T223" s="115">
        <v>-1500000</v>
      </c>
      <c r="U223" s="206" t="s">
        <v>4748</v>
      </c>
      <c r="V223" s="206">
        <v>-9176</v>
      </c>
      <c r="W223" s="111">
        <v>273.79649999999998</v>
      </c>
      <c r="X223" s="111">
        <f t="shared" si="79"/>
        <v>-2512356.6839999999</v>
      </c>
      <c r="Y223" s="97" t="s">
        <v>452</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87" t="s">
        <v>5612</v>
      </c>
      <c r="S224" s="187" t="s">
        <v>5598</v>
      </c>
      <c r="T224" s="186">
        <v>15000000</v>
      </c>
      <c r="U224" s="206" t="s">
        <v>4748</v>
      </c>
      <c r="V224" s="206">
        <v>1087</v>
      </c>
      <c r="W224" s="111">
        <v>273.79649999999998</v>
      </c>
      <c r="X224" s="111">
        <f t="shared" si="79"/>
        <v>297616.79550000001</v>
      </c>
      <c r="Y224" s="97" t="s">
        <v>452</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87" t="s">
        <v>5627</v>
      </c>
      <c r="S225" s="187" t="s">
        <v>5622</v>
      </c>
      <c r="T225" s="186">
        <v>-1500000</v>
      </c>
      <c r="U225" s="380" t="s">
        <v>964</v>
      </c>
      <c r="V225" s="380">
        <v>-4017</v>
      </c>
      <c r="W225" s="90">
        <v>273.79649999999998</v>
      </c>
      <c r="X225" s="90">
        <f t="shared" si="79"/>
        <v>-1099840.5404999999</v>
      </c>
      <c r="Y225" s="89" t="s">
        <v>4406</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5706</v>
      </c>
      <c r="S226" s="187" t="s">
        <v>5704</v>
      </c>
      <c r="T226" s="186">
        <v>-70000</v>
      </c>
      <c r="U226" s="206" t="s">
        <v>964</v>
      </c>
      <c r="V226" s="206">
        <v>4017</v>
      </c>
      <c r="W226" s="111">
        <v>273.79649999999998</v>
      </c>
      <c r="X226" s="111">
        <f t="shared" si="79"/>
        <v>1099840.5404999999</v>
      </c>
      <c r="Y226" s="97" t="s">
        <v>452</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5712</v>
      </c>
      <c r="S227" s="187" t="s">
        <v>5710</v>
      </c>
      <c r="T227" s="186">
        <v>1300000</v>
      </c>
      <c r="U227" s="206" t="s">
        <v>4754</v>
      </c>
      <c r="V227" s="206">
        <v>3137</v>
      </c>
      <c r="W227" s="111">
        <v>283.69110000000001</v>
      </c>
      <c r="X227" s="111">
        <f t="shared" si="79"/>
        <v>889938.98070000007</v>
      </c>
      <c r="Y227" s="97" t="s">
        <v>452</v>
      </c>
      <c r="Z227" t="s">
        <v>25</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60</v>
      </c>
      <c r="S228" s="187" t="s">
        <v>5718</v>
      </c>
      <c r="T228" s="186">
        <v>90000000</v>
      </c>
      <c r="U228" s="206" t="s">
        <v>4767</v>
      </c>
      <c r="V228" s="206">
        <v>101933</v>
      </c>
      <c r="W228" s="111">
        <v>294.30973999999998</v>
      </c>
      <c r="X228" s="111">
        <f t="shared" si="79"/>
        <v>29999874.727419998</v>
      </c>
      <c r="Y228" s="97" t="s">
        <v>1069</v>
      </c>
      <c r="Z228" t="s">
        <v>25</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5803</v>
      </c>
      <c r="S229" s="187" t="s">
        <v>5799</v>
      </c>
      <c r="T229" s="186">
        <v>33832510.64875</v>
      </c>
      <c r="U229" s="206" t="s">
        <v>4774</v>
      </c>
      <c r="V229" s="206">
        <v>3407</v>
      </c>
      <c r="W229" s="111">
        <v>293.43799999999999</v>
      </c>
      <c r="X229" s="111">
        <f t="shared" si="79"/>
        <v>999743.26599999995</v>
      </c>
      <c r="Y229" s="97" t="s">
        <v>452</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5818</v>
      </c>
      <c r="S230" s="187" t="s">
        <v>5815</v>
      </c>
      <c r="T230" s="186">
        <v>21634932</v>
      </c>
      <c r="U230" s="206" t="s">
        <v>4775</v>
      </c>
      <c r="V230" s="206">
        <v>68796</v>
      </c>
      <c r="W230" s="111">
        <v>293.53250000000003</v>
      </c>
      <c r="X230" s="111">
        <f t="shared" si="79"/>
        <v>20193861.870000001</v>
      </c>
      <c r="Y230" s="97" t="s">
        <v>743</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4727</v>
      </c>
      <c r="S231" s="187" t="s">
        <v>5815</v>
      </c>
      <c r="T231" s="186">
        <v>-22520813.151772</v>
      </c>
      <c r="U231" s="206" t="s">
        <v>4775</v>
      </c>
      <c r="V231" s="206">
        <v>154791</v>
      </c>
      <c r="W231" s="111">
        <v>293.53250000000003</v>
      </c>
      <c r="X231" s="111">
        <f t="shared" si="79"/>
        <v>45436189.207500003</v>
      </c>
      <c r="Y231" s="97" t="s">
        <v>452</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9" t="s">
        <v>6395</v>
      </c>
      <c r="S232" s="19" t="s">
        <v>6393</v>
      </c>
      <c r="T232" s="115">
        <v>-6000000</v>
      </c>
      <c r="U232" s="206" t="s">
        <v>4775</v>
      </c>
      <c r="V232" s="206">
        <v>-11923</v>
      </c>
      <c r="W232" s="111">
        <v>293.53250000000003</v>
      </c>
      <c r="X232" s="111">
        <f t="shared" si="79"/>
        <v>-3499787.9975000005</v>
      </c>
      <c r="Y232" s="97" t="s">
        <v>452</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87" t="s">
        <v>5366</v>
      </c>
      <c r="S233" s="187" t="s">
        <v>6478</v>
      </c>
      <c r="T233" s="186">
        <v>130888.351165</v>
      </c>
      <c r="U233" s="206" t="s">
        <v>4787</v>
      </c>
      <c r="V233" s="206">
        <v>8424</v>
      </c>
      <c r="W233" s="111">
        <v>299.15170000000001</v>
      </c>
      <c r="X233" s="111">
        <f t="shared" si="79"/>
        <v>2520053.9208</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87" t="s">
        <v>6586</v>
      </c>
      <c r="S234" s="187" t="s">
        <v>6582</v>
      </c>
      <c r="T234" s="186">
        <v>50000000</v>
      </c>
      <c r="U234" s="206" t="s">
        <v>4822</v>
      </c>
      <c r="V234" s="206">
        <v>15943</v>
      </c>
      <c r="W234" s="111">
        <v>307.34415000000001</v>
      </c>
      <c r="X234" s="111">
        <f t="shared" si="79"/>
        <v>4899987.78345</v>
      </c>
      <c r="Y234" s="97" t="s">
        <v>452</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9" t="s">
        <v>6612</v>
      </c>
      <c r="S235" s="19" t="s">
        <v>6611</v>
      </c>
      <c r="T235" s="115">
        <v>96000</v>
      </c>
      <c r="U235" s="206" t="s">
        <v>4835</v>
      </c>
      <c r="V235" s="206">
        <v>3741</v>
      </c>
      <c r="W235" s="111">
        <v>307.34415000000001</v>
      </c>
      <c r="X235" s="111">
        <f t="shared" si="79"/>
        <v>1149774.4651500001</v>
      </c>
      <c r="Y235" s="97" t="s">
        <v>452</v>
      </c>
      <c r="AA235" t="s">
        <v>25</v>
      </c>
      <c r="AI235" s="97">
        <v>215</v>
      </c>
      <c r="AJ235" s="111" t="s">
        <v>5538</v>
      </c>
      <c r="AK235" s="111">
        <v>70000</v>
      </c>
      <c r="AL235" s="97">
        <v>6</v>
      </c>
      <c r="AM235" s="20">
        <f t="shared" si="86"/>
        <v>401</v>
      </c>
      <c r="AN235" s="115">
        <f t="shared" si="87"/>
        <v>28070000</v>
      </c>
      <c r="AO235" s="20"/>
    </row>
    <row r="236" spans="4:46">
      <c r="G236" s="206" t="s">
        <v>5668</v>
      </c>
      <c r="H236" s="111">
        <v>17804396.448481999</v>
      </c>
      <c r="R236" s="187" t="s">
        <v>7037</v>
      </c>
      <c r="S236" s="187" t="s">
        <v>7034</v>
      </c>
      <c r="T236" s="186">
        <v>-40615000</v>
      </c>
      <c r="U236" s="206" t="s">
        <v>4840</v>
      </c>
      <c r="V236" s="206">
        <v>-6207</v>
      </c>
      <c r="W236" s="111">
        <v>322.214</v>
      </c>
      <c r="X236" s="111">
        <f t="shared" si="79"/>
        <v>-1999982.298</v>
      </c>
      <c r="Y236" s="97" t="s">
        <v>743</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87" t="s">
        <v>7064</v>
      </c>
      <c r="S237" s="187" t="s">
        <v>7063</v>
      </c>
      <c r="T237" s="186">
        <v>7300000</v>
      </c>
      <c r="U237" s="206" t="s">
        <v>4840</v>
      </c>
      <c r="V237" s="206">
        <v>6207</v>
      </c>
      <c r="W237" s="111">
        <v>322.214</v>
      </c>
      <c r="X237" s="111">
        <f t="shared" si="79"/>
        <v>1999982.298</v>
      </c>
      <c r="Y237" s="97" t="s">
        <v>4406</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9"/>
      <c r="S238" s="19"/>
      <c r="T238" s="115"/>
      <c r="U238" s="206" t="s">
        <v>4794</v>
      </c>
      <c r="V238" s="206">
        <v>776</v>
      </c>
      <c r="W238" s="111">
        <v>322.214</v>
      </c>
      <c r="X238" s="111">
        <f t="shared" si="79"/>
        <v>250038.06400000001</v>
      </c>
      <c r="Y238" s="97" t="s">
        <v>452</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19"/>
      <c r="S239" s="19"/>
      <c r="T239" s="115"/>
      <c r="U239" s="206" t="s">
        <v>4862</v>
      </c>
      <c r="V239" s="206">
        <v>1524</v>
      </c>
      <c r="W239" s="111">
        <v>314.95999999999998</v>
      </c>
      <c r="X239" s="111">
        <f t="shared" si="79"/>
        <v>479999.04</v>
      </c>
      <c r="Y239" s="97" t="s">
        <v>1069</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206" t="s">
        <v>25</v>
      </c>
      <c r="S240" s="206"/>
      <c r="T240" s="111"/>
      <c r="U240" s="206" t="s">
        <v>4869</v>
      </c>
      <c r="V240" s="206">
        <v>4435</v>
      </c>
      <c r="W240" s="111">
        <v>316.4375</v>
      </c>
      <c r="X240" s="111">
        <f t="shared" si="79"/>
        <v>1403400.3125</v>
      </c>
      <c r="Y240" s="97" t="s">
        <v>452</v>
      </c>
      <c r="AI240" s="97">
        <v>220</v>
      </c>
      <c r="AJ240" s="111" t="s">
        <v>5559</v>
      </c>
      <c r="AK240" s="111">
        <v>150000</v>
      </c>
      <c r="AL240" s="97">
        <v>5</v>
      </c>
      <c r="AM240" s="20">
        <f t="shared" si="86"/>
        <v>380</v>
      </c>
      <c r="AN240" s="115">
        <f t="shared" si="87"/>
        <v>57000000</v>
      </c>
      <c r="AO240" s="20"/>
    </row>
    <row r="241" spans="7:47">
      <c r="G241" s="206" t="s">
        <v>5686</v>
      </c>
      <c r="H241" s="111">
        <v>330889.73324399994</v>
      </c>
      <c r="R241" s="206"/>
      <c r="S241" s="206"/>
      <c r="T241" s="111">
        <f>SUM(T193:T240)</f>
        <v>127637957.13209102</v>
      </c>
      <c r="U241" s="206" t="s">
        <v>4872</v>
      </c>
      <c r="V241" s="206">
        <v>624</v>
      </c>
      <c r="W241" s="111">
        <v>320.5</v>
      </c>
      <c r="X241" s="111">
        <f t="shared" si="79"/>
        <v>199992</v>
      </c>
      <c r="Y241" s="97" t="s">
        <v>452</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41"/>
      <c r="S242" s="206"/>
      <c r="T242" s="206" t="s">
        <v>6</v>
      </c>
      <c r="U242" s="206" t="s">
        <v>4877</v>
      </c>
      <c r="V242" s="206">
        <v>1086</v>
      </c>
      <c r="W242" s="111">
        <v>317.55</v>
      </c>
      <c r="X242" s="111">
        <f t="shared" si="79"/>
        <v>344859.3</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94"/>
      <c r="U243" s="206" t="s">
        <v>4882</v>
      </c>
      <c r="V243" s="206">
        <v>2820</v>
      </c>
      <c r="W243" s="111">
        <v>319.1096</v>
      </c>
      <c r="X243" s="111">
        <f t="shared" si="79"/>
        <v>899889.07200000004</v>
      </c>
      <c r="Y243" s="97" t="s">
        <v>452</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94" t="s">
        <v>25</v>
      </c>
      <c r="S244" s="94" t="s">
        <v>25</v>
      </c>
      <c r="U244" s="206" t="s">
        <v>4885</v>
      </c>
      <c r="V244" s="206">
        <v>1145</v>
      </c>
      <c r="W244" s="111">
        <v>325.44</v>
      </c>
      <c r="X244" s="111">
        <f t="shared" si="79"/>
        <v>372628.8</v>
      </c>
      <c r="Y244" s="97" t="s">
        <v>452</v>
      </c>
      <c r="Z244" t="s">
        <v>25</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94" t="s">
        <v>25</v>
      </c>
      <c r="S245" s="94" t="s">
        <v>25</v>
      </c>
      <c r="T245" t="s">
        <v>25</v>
      </c>
      <c r="U245" s="206" t="s">
        <v>4893</v>
      </c>
      <c r="V245" s="206">
        <v>20153</v>
      </c>
      <c r="W245" s="111">
        <v>322</v>
      </c>
      <c r="X245" s="111">
        <f t="shared" si="79"/>
        <v>6489266</v>
      </c>
      <c r="Y245" s="97" t="s">
        <v>452</v>
      </c>
      <c r="AI245" s="97">
        <v>225</v>
      </c>
      <c r="AJ245" s="111" t="s">
        <v>5704</v>
      </c>
      <c r="AK245" s="111">
        <v>70000</v>
      </c>
      <c r="AL245" s="97">
        <v>1</v>
      </c>
      <c r="AM245" s="20">
        <f t="shared" si="86"/>
        <v>262</v>
      </c>
      <c r="AN245" s="115">
        <f t="shared" si="87"/>
        <v>18340000</v>
      </c>
      <c r="AO245" s="20"/>
    </row>
    <row r="246" spans="7:47">
      <c r="G246" s="206" t="s">
        <v>5702</v>
      </c>
      <c r="H246" s="111">
        <v>6035472.4070199998</v>
      </c>
      <c r="T246" t="s">
        <v>25</v>
      </c>
      <c r="U246" s="206" t="s">
        <v>4903</v>
      </c>
      <c r="V246" s="206">
        <v>93720</v>
      </c>
      <c r="W246" s="111">
        <v>325.435</v>
      </c>
      <c r="X246" s="111">
        <f t="shared" si="79"/>
        <v>30499768.199999999</v>
      </c>
      <c r="Y246" s="97" t="s">
        <v>1069</v>
      </c>
      <c r="AI246" s="97">
        <v>226</v>
      </c>
      <c r="AJ246" s="111" t="s">
        <v>5710</v>
      </c>
      <c r="AK246" s="111">
        <v>330000</v>
      </c>
      <c r="AL246" s="97">
        <v>1</v>
      </c>
      <c r="AM246" s="20">
        <f t="shared" si="86"/>
        <v>261</v>
      </c>
      <c r="AN246" s="115">
        <f t="shared" si="87"/>
        <v>86130000</v>
      </c>
      <c r="AO246" s="20"/>
    </row>
    <row r="247" spans="7:47">
      <c r="G247" s="206" t="s">
        <v>5703</v>
      </c>
      <c r="H247" s="111">
        <v>984486.34963200008</v>
      </c>
      <c r="R247" s="97" t="s">
        <v>743</v>
      </c>
      <c r="S247" s="97"/>
      <c r="T247" t="s">
        <v>25</v>
      </c>
      <c r="U247" s="206" t="s">
        <v>4903</v>
      </c>
      <c r="V247" s="206">
        <v>20895</v>
      </c>
      <c r="W247" s="111">
        <v>325.435</v>
      </c>
      <c r="X247" s="111">
        <f t="shared" si="79"/>
        <v>6799964.3250000002</v>
      </c>
      <c r="Y247" s="97" t="s">
        <v>743</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7" t="s">
        <v>4399</v>
      </c>
      <c r="S248" s="93">
        <v>172908000</v>
      </c>
      <c r="T248" t="s">
        <v>25</v>
      </c>
      <c r="U248" s="206" t="s">
        <v>4910</v>
      </c>
      <c r="V248" s="206">
        <v>2611</v>
      </c>
      <c r="W248" s="111">
        <v>325.435</v>
      </c>
      <c r="X248" s="111">
        <f t="shared" si="79"/>
        <v>849710.78500000003</v>
      </c>
      <c r="Y248" s="97" t="s">
        <v>743</v>
      </c>
      <c r="AI248" s="97">
        <v>228</v>
      </c>
      <c r="AJ248" s="111" t="s">
        <v>5810</v>
      </c>
      <c r="AK248" s="111">
        <v>150000</v>
      </c>
      <c r="AL248" s="97">
        <v>10</v>
      </c>
      <c r="AM248" s="20">
        <f t="shared" si="86"/>
        <v>242</v>
      </c>
      <c r="AN248" s="115"/>
      <c r="AO248" s="20"/>
    </row>
    <row r="249" spans="7:47">
      <c r="G249" s="206" t="s">
        <v>5714</v>
      </c>
      <c r="H249" s="111">
        <v>3085460.5177150001</v>
      </c>
      <c r="R249" s="97" t="s">
        <v>4430</v>
      </c>
      <c r="S249" s="93">
        <v>1400000</v>
      </c>
      <c r="U249" s="206" t="s">
        <v>4918</v>
      </c>
      <c r="V249" s="206">
        <v>6750</v>
      </c>
      <c r="W249" s="111">
        <v>339.3</v>
      </c>
      <c r="X249" s="111">
        <f t="shared" si="79"/>
        <v>2290275</v>
      </c>
      <c r="Y249" s="97" t="s">
        <v>743</v>
      </c>
      <c r="AB249" t="s">
        <v>25</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4205</v>
      </c>
      <c r="S250" s="93">
        <v>247393</v>
      </c>
      <c r="T250" t="s">
        <v>25</v>
      </c>
      <c r="U250" s="206" t="s">
        <v>4926</v>
      </c>
      <c r="V250" s="206">
        <v>1850</v>
      </c>
      <c r="W250" s="111">
        <v>334.10050000000001</v>
      </c>
      <c r="X250" s="111">
        <f t="shared" si="79"/>
        <v>618085.92500000005</v>
      </c>
      <c r="Y250" s="97" t="s">
        <v>452</v>
      </c>
      <c r="Z250" t="s">
        <v>25</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4204</v>
      </c>
      <c r="S251" s="93">
        <v>6780000</v>
      </c>
      <c r="U251" s="206" t="s">
        <v>4926</v>
      </c>
      <c r="V251" s="206">
        <v>-1194</v>
      </c>
      <c r="W251" s="111">
        <v>335</v>
      </c>
      <c r="X251" s="111">
        <f t="shared" si="79"/>
        <v>-399990</v>
      </c>
      <c r="Y251" s="97" t="s">
        <v>4406</v>
      </c>
      <c r="Z251" t="s">
        <v>25</v>
      </c>
      <c r="AI251" s="97">
        <v>231</v>
      </c>
      <c r="AJ251" s="111" t="s">
        <v>5826</v>
      </c>
      <c r="AK251" s="111">
        <v>-100000000</v>
      </c>
      <c r="AL251" s="97">
        <v>1</v>
      </c>
      <c r="AM251" s="20">
        <f t="shared" si="86"/>
        <v>231</v>
      </c>
      <c r="AN251" s="115"/>
      <c r="AO251" s="261" t="s">
        <v>5828</v>
      </c>
    </row>
    <row r="252" spans="7:47">
      <c r="G252" s="206" t="s">
        <v>5720</v>
      </c>
      <c r="H252" s="111">
        <v>2893243.5730909999</v>
      </c>
      <c r="R252" s="97" t="s">
        <v>4528</v>
      </c>
      <c r="S252" s="93">
        <v>-4000000</v>
      </c>
      <c r="U252" s="206" t="s">
        <v>4926</v>
      </c>
      <c r="V252" s="206">
        <v>1194</v>
      </c>
      <c r="W252" s="111">
        <v>335</v>
      </c>
      <c r="X252" s="111">
        <f t="shared" si="79"/>
        <v>399990</v>
      </c>
      <c r="Y252" s="97" t="s">
        <v>743</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4553</v>
      </c>
      <c r="S253" s="93">
        <v>16727037</v>
      </c>
      <c r="U253" s="206" t="s">
        <v>4933</v>
      </c>
      <c r="V253" s="206">
        <v>433</v>
      </c>
      <c r="W253" s="111">
        <v>345.68</v>
      </c>
      <c r="X253" s="111">
        <f t="shared" si="79"/>
        <v>149679.44</v>
      </c>
      <c r="Y253" s="97" t="s">
        <v>743</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4558</v>
      </c>
      <c r="S254" s="93">
        <v>46460683</v>
      </c>
      <c r="T254" t="s">
        <v>25</v>
      </c>
      <c r="U254" s="206" t="s">
        <v>4937</v>
      </c>
      <c r="V254" s="206">
        <v>55459</v>
      </c>
      <c r="W254" s="111">
        <v>362.51978000000003</v>
      </c>
      <c r="X254" s="111">
        <f t="shared" si="79"/>
        <v>20104984.479020003</v>
      </c>
      <c r="Y254" s="97" t="s">
        <v>452</v>
      </c>
      <c r="AI254" s="97">
        <v>234</v>
      </c>
      <c r="AJ254" s="111" t="s">
        <v>5831</v>
      </c>
      <c r="AK254" s="111">
        <v>30000000</v>
      </c>
      <c r="AL254" s="97">
        <v>0</v>
      </c>
      <c r="AM254" s="20">
        <f t="shared" si="86"/>
        <v>229</v>
      </c>
      <c r="AN254" s="115"/>
      <c r="AO254" s="261"/>
    </row>
    <row r="255" spans="7:47" ht="30">
      <c r="G255" s="206" t="s">
        <v>5731</v>
      </c>
      <c r="H255" s="111">
        <v>327451.9203</v>
      </c>
      <c r="R255" s="97" t="s">
        <v>4559</v>
      </c>
      <c r="S255" s="93">
        <v>19663646</v>
      </c>
      <c r="U255" s="206" t="s">
        <v>4941</v>
      </c>
      <c r="V255" s="206">
        <v>-57212</v>
      </c>
      <c r="W255" s="111">
        <v>368.45400000000001</v>
      </c>
      <c r="X255" s="111">
        <f t="shared" si="79"/>
        <v>-21079990.248</v>
      </c>
      <c r="Y255" s="97" t="s">
        <v>452</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4580</v>
      </c>
      <c r="S256" s="93">
        <v>4374525</v>
      </c>
      <c r="U256" s="206" t="s">
        <v>4942</v>
      </c>
      <c r="V256" s="206">
        <v>-15881</v>
      </c>
      <c r="W256" s="111">
        <v>374.61599999999999</v>
      </c>
      <c r="X256" s="111">
        <f t="shared" si="79"/>
        <v>-5949276.6959999995</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4591</v>
      </c>
      <c r="S257" s="93">
        <v>6550580</v>
      </c>
      <c r="U257" s="206" t="s">
        <v>4948</v>
      </c>
      <c r="V257" s="206">
        <v>-41289</v>
      </c>
      <c r="W257" s="111">
        <v>372.27</v>
      </c>
      <c r="X257" s="111">
        <f t="shared" si="79"/>
        <v>-15370656.029999999</v>
      </c>
      <c r="Y257" s="97" t="s">
        <v>452</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4593</v>
      </c>
      <c r="S258" s="93">
        <v>6650895</v>
      </c>
      <c r="U258" s="206" t="s">
        <v>4954</v>
      </c>
      <c r="V258" s="206">
        <v>13563</v>
      </c>
      <c r="W258" s="111">
        <v>365.69799999999998</v>
      </c>
      <c r="X258" s="111">
        <f t="shared" si="79"/>
        <v>4959961.9739999995</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4606</v>
      </c>
      <c r="S259" s="93">
        <v>2145814</v>
      </c>
      <c r="U259" s="206" t="s">
        <v>4954</v>
      </c>
      <c r="V259" s="206">
        <v>27344</v>
      </c>
      <c r="W259" s="111">
        <v>365.69799999999998</v>
      </c>
      <c r="X259" s="111">
        <f t="shared" si="79"/>
        <v>9999646.1119999997</v>
      </c>
      <c r="Y259" s="97" t="s">
        <v>452</v>
      </c>
      <c r="AI259" s="97">
        <v>239</v>
      </c>
      <c r="AJ259" s="111" t="s">
        <v>6383</v>
      </c>
      <c r="AK259" s="111">
        <v>50000000</v>
      </c>
      <c r="AL259" s="97">
        <v>43</v>
      </c>
      <c r="AM259" s="20">
        <f t="shared" si="86"/>
        <v>219</v>
      </c>
      <c r="AN259" s="115"/>
      <c r="AO259" s="261" t="s">
        <v>5336</v>
      </c>
    </row>
    <row r="260" spans="7:46" ht="30">
      <c r="G260" s="206" t="s">
        <v>5752</v>
      </c>
      <c r="H260" s="111">
        <v>7230628.4378079996</v>
      </c>
      <c r="J260" t="s">
        <v>25</v>
      </c>
      <c r="P260" t="s">
        <v>25</v>
      </c>
      <c r="R260" s="97" t="s">
        <v>4617</v>
      </c>
      <c r="S260" s="93">
        <v>4369730</v>
      </c>
      <c r="U260" s="206" t="s">
        <v>4961</v>
      </c>
      <c r="V260" s="206">
        <v>-103145</v>
      </c>
      <c r="W260" s="111">
        <v>393.334</v>
      </c>
      <c r="X260" s="111">
        <f t="shared" si="79"/>
        <v>-40570435.43</v>
      </c>
      <c r="Y260" s="36" t="s">
        <v>4966</v>
      </c>
      <c r="AI260" s="97">
        <v>240</v>
      </c>
      <c r="AJ260" s="111" t="s">
        <v>6435</v>
      </c>
      <c r="AK260" s="111">
        <v>50000000</v>
      </c>
      <c r="AL260" s="97">
        <v>10</v>
      </c>
      <c r="AM260" s="20">
        <f t="shared" si="86"/>
        <v>176</v>
      </c>
      <c r="AN260" s="115"/>
      <c r="AO260" s="261" t="s">
        <v>6436</v>
      </c>
    </row>
    <row r="261" spans="7:46">
      <c r="G261" s="206" t="s">
        <v>5754</v>
      </c>
      <c r="H261" s="111">
        <v>29767389.390390001</v>
      </c>
      <c r="R261" s="97" t="s">
        <v>4619</v>
      </c>
      <c r="S261" s="93">
        <v>8739459</v>
      </c>
      <c r="T261" t="s">
        <v>25</v>
      </c>
      <c r="U261" s="206" t="s">
        <v>4961</v>
      </c>
      <c r="V261" s="206">
        <v>-369</v>
      </c>
      <c r="W261" s="111">
        <v>393.334</v>
      </c>
      <c r="X261" s="111">
        <f t="shared" si="79"/>
        <v>-145140.24600000001</v>
      </c>
      <c r="Y261" s="36" t="s">
        <v>5038</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4628</v>
      </c>
      <c r="S262" s="93">
        <v>6667654</v>
      </c>
      <c r="U262" s="206" t="s">
        <v>4961</v>
      </c>
      <c r="V262" s="206">
        <v>-889</v>
      </c>
      <c r="W262" s="111">
        <v>393.334</v>
      </c>
      <c r="X262" s="111">
        <f t="shared" si="79"/>
        <v>-349673.92599999998</v>
      </c>
      <c r="Y262" s="36" t="s">
        <v>5039</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4636</v>
      </c>
      <c r="S263" s="93">
        <v>8981245</v>
      </c>
      <c r="U263" s="206" t="s">
        <v>4970</v>
      </c>
      <c r="V263" s="206">
        <v>2546</v>
      </c>
      <c r="W263" s="111">
        <v>393</v>
      </c>
      <c r="X263" s="111">
        <f t="shared" si="79"/>
        <v>1000578</v>
      </c>
      <c r="Y263" s="36" t="s">
        <v>452</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4640</v>
      </c>
      <c r="S264" s="93">
        <v>9181756</v>
      </c>
      <c r="U264" s="206" t="s">
        <v>4971</v>
      </c>
      <c r="V264" s="206">
        <v>1034</v>
      </c>
      <c r="W264" s="111">
        <v>386.608</v>
      </c>
      <c r="X264" s="111">
        <f t="shared" si="79"/>
        <v>399752.67200000002</v>
      </c>
      <c r="Y264" s="36" t="s">
        <v>452</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4643</v>
      </c>
      <c r="S265" s="93">
        <v>11811208</v>
      </c>
      <c r="T265" t="s">
        <v>25</v>
      </c>
      <c r="U265" s="206" t="s">
        <v>4978</v>
      </c>
      <c r="V265" s="206">
        <v>300</v>
      </c>
      <c r="W265" s="111">
        <v>400</v>
      </c>
      <c r="X265" s="111">
        <f t="shared" si="79"/>
        <v>120000</v>
      </c>
      <c r="Y265" s="36" t="s">
        <v>452</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4656</v>
      </c>
      <c r="S266" s="93">
        <v>41248054</v>
      </c>
      <c r="T266" t="s">
        <v>25</v>
      </c>
      <c r="U266" s="206" t="s">
        <v>4986</v>
      </c>
      <c r="V266" s="206">
        <v>782</v>
      </c>
      <c r="W266" s="111">
        <v>409</v>
      </c>
      <c r="X266" s="111">
        <f t="shared" si="79"/>
        <v>319838</v>
      </c>
      <c r="Y266" s="36" t="s">
        <v>743</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4663</v>
      </c>
      <c r="S267" s="93">
        <v>37328780</v>
      </c>
      <c r="U267" s="206" t="s">
        <v>4990</v>
      </c>
      <c r="V267" s="206">
        <v>1220</v>
      </c>
      <c r="W267" s="111">
        <v>409.9</v>
      </c>
      <c r="X267" s="111">
        <f t="shared" si="79"/>
        <v>500078</v>
      </c>
      <c r="Y267" s="36" t="s">
        <v>743</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4739</v>
      </c>
      <c r="S268" s="93">
        <v>-2194100</v>
      </c>
      <c r="U268" s="206" t="s">
        <v>4992</v>
      </c>
      <c r="V268" s="206">
        <v>1285</v>
      </c>
      <c r="W268" s="111">
        <v>388.84</v>
      </c>
      <c r="X268" s="111">
        <f t="shared" si="79"/>
        <v>499659.39999999997</v>
      </c>
      <c r="Y268" s="36" t="s">
        <v>452</v>
      </c>
      <c r="AI268" s="97">
        <v>248</v>
      </c>
      <c r="AJ268" s="111" t="s">
        <v>7056</v>
      </c>
      <c r="AK268" s="111">
        <v>300000</v>
      </c>
      <c r="AL268" s="97">
        <v>1</v>
      </c>
      <c r="AM268" s="20">
        <f t="shared" si="86"/>
        <v>1</v>
      </c>
      <c r="AN268" s="115"/>
      <c r="AO268" s="261"/>
    </row>
    <row r="269" spans="7:46" ht="21.75" customHeight="1">
      <c r="G269" s="206" t="s">
        <v>5809</v>
      </c>
      <c r="H269" s="111">
        <v>466552.25632400002</v>
      </c>
      <c r="R269" s="97" t="s">
        <v>4775</v>
      </c>
      <c r="S269" s="93">
        <v>20193916</v>
      </c>
      <c r="U269" s="206" t="s">
        <v>4983</v>
      </c>
      <c r="V269" s="206">
        <v>1924</v>
      </c>
      <c r="W269" s="111">
        <v>386.69600000000003</v>
      </c>
      <c r="X269" s="111">
        <f t="shared" si="79"/>
        <v>744003.10400000005</v>
      </c>
      <c r="Y269" s="36" t="s">
        <v>452</v>
      </c>
      <c r="AI269" s="97"/>
      <c r="AJ269" s="111"/>
      <c r="AK269" s="111"/>
      <c r="AL269" s="97"/>
      <c r="AM269" s="20">
        <f t="shared" si="86"/>
        <v>0</v>
      </c>
      <c r="AN269" s="115"/>
      <c r="AO269" s="261"/>
    </row>
    <row r="270" spans="7:46">
      <c r="G270" s="206" t="s">
        <v>5810</v>
      </c>
      <c r="H270" s="111">
        <v>189134.85153000001</v>
      </c>
      <c r="J270" t="s">
        <v>25</v>
      </c>
      <c r="R270" s="97" t="s">
        <v>4840</v>
      </c>
      <c r="S270" s="93">
        <v>-2000000</v>
      </c>
      <c r="U270" s="206" t="s">
        <v>5008</v>
      </c>
      <c r="V270" s="206">
        <v>165</v>
      </c>
      <c r="W270" s="111">
        <v>393.5</v>
      </c>
      <c r="X270" s="111">
        <f t="shared" si="79"/>
        <v>64927.5</v>
      </c>
      <c r="Y270" s="36" t="s">
        <v>452</v>
      </c>
      <c r="AI270" s="97"/>
      <c r="AJ270" s="111"/>
      <c r="AK270" s="111"/>
      <c r="AL270" s="97"/>
      <c r="AM270" s="20">
        <f t="shared" si="86"/>
        <v>0</v>
      </c>
      <c r="AN270" s="115"/>
      <c r="AO270" s="20"/>
    </row>
    <row r="271" spans="7:46" ht="30">
      <c r="G271" s="206" t="s">
        <v>5812</v>
      </c>
      <c r="H271" s="111">
        <v>564888.82799599995</v>
      </c>
      <c r="R271" s="97" t="s">
        <v>4903</v>
      </c>
      <c r="S271" s="93">
        <v>6800000</v>
      </c>
      <c r="T271" t="s">
        <v>25</v>
      </c>
      <c r="U271" s="206" t="s">
        <v>5013</v>
      </c>
      <c r="V271" s="206">
        <v>-34859</v>
      </c>
      <c r="W271" s="111">
        <v>403.1585</v>
      </c>
      <c r="X271" s="111">
        <f t="shared" si="79"/>
        <v>-14053702.1515</v>
      </c>
      <c r="Y271" s="36" t="s">
        <v>5016</v>
      </c>
      <c r="AD271" t="s">
        <v>25</v>
      </c>
      <c r="AI271" s="97"/>
      <c r="AJ271" s="111"/>
      <c r="AK271" s="111"/>
      <c r="AL271" s="97"/>
      <c r="AM271" s="20">
        <f t="shared" si="86"/>
        <v>0</v>
      </c>
      <c r="AN271" s="115"/>
      <c r="AO271" s="20"/>
      <c r="AS271" t="s">
        <v>25</v>
      </c>
    </row>
    <row r="272" spans="7:46">
      <c r="G272" s="206" t="s">
        <v>5847</v>
      </c>
      <c r="H272" s="111">
        <v>259993.58394100002</v>
      </c>
      <c r="J272" t="s">
        <v>25</v>
      </c>
      <c r="R272" s="97" t="s">
        <v>4910</v>
      </c>
      <c r="S272" s="93">
        <v>850000</v>
      </c>
      <c r="U272" s="206" t="s">
        <v>4984</v>
      </c>
      <c r="V272" s="206">
        <v>8476</v>
      </c>
      <c r="W272" s="111">
        <v>419.49900000000002</v>
      </c>
      <c r="X272" s="111">
        <f t="shared" si="79"/>
        <v>3555673.5240000002</v>
      </c>
      <c r="Y272" s="36" t="s">
        <v>5022</v>
      </c>
      <c r="AI272" s="97"/>
      <c r="AJ272" s="111"/>
      <c r="AK272" s="111"/>
      <c r="AL272" s="97"/>
      <c r="AM272" s="20">
        <f t="shared" si="86"/>
        <v>0</v>
      </c>
      <c r="AN272" s="115"/>
      <c r="AO272" s="20"/>
    </row>
    <row r="273" spans="7:41">
      <c r="G273" s="206" t="s">
        <v>5848</v>
      </c>
      <c r="H273" s="111">
        <v>269955.31205999997</v>
      </c>
      <c r="R273" s="97" t="s">
        <v>4918</v>
      </c>
      <c r="S273" s="93">
        <v>2290500</v>
      </c>
      <c r="U273" s="206" t="s">
        <v>5034</v>
      </c>
      <c r="V273" s="206">
        <v>903</v>
      </c>
      <c r="W273" s="111">
        <v>442.77379999999999</v>
      </c>
      <c r="X273" s="111">
        <f t="shared" si="79"/>
        <v>399824.7414</v>
      </c>
      <c r="Y273" s="36" t="s">
        <v>743</v>
      </c>
      <c r="AI273" s="97"/>
      <c r="AJ273" s="111"/>
      <c r="AK273" s="111">
        <v>0</v>
      </c>
      <c r="AL273" s="97"/>
      <c r="AM273" s="20">
        <f t="shared" si="86"/>
        <v>0</v>
      </c>
      <c r="AN273" s="115">
        <f t="shared" si="87"/>
        <v>0</v>
      </c>
      <c r="AO273" s="20"/>
    </row>
    <row r="274" spans="7:41">
      <c r="G274" s="206" t="s">
        <v>6389</v>
      </c>
      <c r="H274" s="111">
        <v>560534.38387200003</v>
      </c>
      <c r="R274" s="97" t="s">
        <v>4926</v>
      </c>
      <c r="S274" s="93">
        <v>400000</v>
      </c>
      <c r="T274" t="s">
        <v>25</v>
      </c>
      <c r="U274" s="206" t="s">
        <v>5037</v>
      </c>
      <c r="V274" s="206">
        <v>113</v>
      </c>
      <c r="W274" s="111">
        <v>442.48200000000003</v>
      </c>
      <c r="X274" s="111">
        <f t="shared" ref="X274:X355" si="88">V274*W274</f>
        <v>50000.466</v>
      </c>
      <c r="Y274" s="36" t="s">
        <v>743</v>
      </c>
      <c r="AI274" s="97"/>
      <c r="AJ274" s="111"/>
      <c r="AK274" s="111"/>
      <c r="AL274" s="97">
        <v>0</v>
      </c>
      <c r="AM274" s="20">
        <f t="shared" si="86"/>
        <v>0</v>
      </c>
      <c r="AN274" s="115">
        <f t="shared" si="87"/>
        <v>0</v>
      </c>
      <c r="AO274" s="20"/>
    </row>
    <row r="275" spans="7:41">
      <c r="G275" s="206" t="s">
        <v>6391</v>
      </c>
      <c r="H275" s="111">
        <v>581484.96802499995</v>
      </c>
      <c r="R275" s="97" t="s">
        <v>4933</v>
      </c>
      <c r="S275" s="93">
        <v>150000</v>
      </c>
      <c r="U275" s="206" t="s">
        <v>5047</v>
      </c>
      <c r="V275" s="206">
        <v>671</v>
      </c>
      <c r="W275" s="111">
        <v>447</v>
      </c>
      <c r="X275" s="111">
        <f t="shared" si="88"/>
        <v>299937</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4961</v>
      </c>
      <c r="S276" s="93">
        <v>-144950</v>
      </c>
      <c r="U276" s="206" t="s">
        <v>5049</v>
      </c>
      <c r="V276" s="206">
        <v>7</v>
      </c>
      <c r="W276" s="111">
        <v>465.31200000000001</v>
      </c>
      <c r="X276" s="111">
        <f t="shared" si="88"/>
        <v>3257.1840000000002</v>
      </c>
      <c r="Y276" s="36" t="s">
        <v>452</v>
      </c>
      <c r="AI276" s="97"/>
      <c r="AJ276" s="97"/>
      <c r="AK276" s="97" t="s">
        <v>4041</v>
      </c>
      <c r="AL276" s="97"/>
      <c r="AM276" s="97"/>
      <c r="AN276" s="97" t="s">
        <v>284</v>
      </c>
      <c r="AO276" s="97" t="s">
        <v>926</v>
      </c>
    </row>
    <row r="277" spans="7:41">
      <c r="G277" s="206" t="s">
        <v>6396</v>
      </c>
      <c r="H277" s="111">
        <v>593783.22629999998</v>
      </c>
      <c r="J277" t="s">
        <v>25</v>
      </c>
      <c r="R277" s="97" t="s">
        <v>4986</v>
      </c>
      <c r="S277" s="93">
        <v>320000</v>
      </c>
      <c r="U277" s="206" t="s">
        <v>5053</v>
      </c>
      <c r="V277" s="206">
        <v>12950</v>
      </c>
      <c r="W277" s="111">
        <v>463.31599999999997</v>
      </c>
      <c r="X277" s="111">
        <f t="shared" si="88"/>
        <v>5999942.1999999993</v>
      </c>
      <c r="Y277" s="36" t="s">
        <v>452</v>
      </c>
      <c r="AI277" s="97"/>
      <c r="AJ277" s="97"/>
      <c r="AK277" s="97"/>
      <c r="AL277" s="97"/>
      <c r="AM277" s="97"/>
      <c r="AN277" s="97"/>
      <c r="AO277" s="97"/>
    </row>
    <row r="278" spans="7:41">
      <c r="G278" s="206" t="s">
        <v>6400</v>
      </c>
      <c r="H278" s="111">
        <v>469469.96222000004</v>
      </c>
      <c r="J278" t="s">
        <v>25</v>
      </c>
      <c r="K278" t="s">
        <v>25</v>
      </c>
      <c r="R278" s="97" t="s">
        <v>4990</v>
      </c>
      <c r="S278" s="93">
        <v>500000</v>
      </c>
      <c r="T278" t="s">
        <v>25</v>
      </c>
      <c r="U278" s="206" t="s">
        <v>5055</v>
      </c>
      <c r="V278" s="206">
        <v>37</v>
      </c>
      <c r="W278" s="111">
        <v>463.315</v>
      </c>
      <c r="X278" s="111">
        <f t="shared" si="88"/>
        <v>17142.654999999999</v>
      </c>
      <c r="Y278" s="36" t="s">
        <v>452</v>
      </c>
      <c r="AI278" s="97"/>
      <c r="AJ278" s="97"/>
      <c r="AK278" s="97"/>
      <c r="AL278" s="97"/>
      <c r="AM278" s="97"/>
      <c r="AN278" s="97" t="s">
        <v>4042</v>
      </c>
      <c r="AO278" s="97">
        <v>1.6667000000000001E-2</v>
      </c>
    </row>
    <row r="279" spans="7:41">
      <c r="G279" s="206" t="s">
        <v>6438</v>
      </c>
      <c r="H279" s="111">
        <v>15777944</v>
      </c>
      <c r="R279" s="97" t="s">
        <v>5034</v>
      </c>
      <c r="S279" s="93">
        <v>400000</v>
      </c>
      <c r="T279" t="s">
        <v>25</v>
      </c>
      <c r="U279" s="206" t="s">
        <v>5056</v>
      </c>
      <c r="V279" s="206">
        <v>19</v>
      </c>
      <c r="W279" s="111">
        <v>434.3</v>
      </c>
      <c r="X279" s="111">
        <f t="shared" si="88"/>
        <v>8251.7000000000007</v>
      </c>
      <c r="Y279" s="36" t="s">
        <v>452</v>
      </c>
      <c r="Z279" t="s">
        <v>25</v>
      </c>
      <c r="AI279" s="97"/>
      <c r="AJ279" s="97"/>
      <c r="AK279" s="97"/>
      <c r="AL279" s="97"/>
      <c r="AM279" s="97"/>
      <c r="AN279" s="97"/>
      <c r="AO279" s="97"/>
    </row>
    <row r="280" spans="7:41">
      <c r="G280" s="206" t="s">
        <v>6446</v>
      </c>
      <c r="H280" s="111">
        <v>3585319.2317280001</v>
      </c>
      <c r="J280" t="s">
        <v>25</v>
      </c>
      <c r="K280" t="s">
        <v>25</v>
      </c>
      <c r="R280" s="97" t="s">
        <v>5037</v>
      </c>
      <c r="S280" s="93">
        <v>50000</v>
      </c>
      <c r="T280" t="s">
        <v>25</v>
      </c>
      <c r="U280" s="206" t="s">
        <v>5058</v>
      </c>
      <c r="V280" s="206">
        <v>16</v>
      </c>
      <c r="W280" s="111">
        <v>439</v>
      </c>
      <c r="X280" s="111">
        <f t="shared" si="88"/>
        <v>7024</v>
      </c>
      <c r="Y280" s="36" t="s">
        <v>452</v>
      </c>
      <c r="Z280" t="s">
        <v>25</v>
      </c>
      <c r="AI280" s="97"/>
      <c r="AJ280" s="97" t="s">
        <v>4043</v>
      </c>
      <c r="AK280" s="93">
        <f>AK275+AO275</f>
        <v>795673204.06125796</v>
      </c>
      <c r="AL280" s="97"/>
      <c r="AM280" s="97"/>
      <c r="AN280" s="97"/>
      <c r="AO280" s="97"/>
    </row>
    <row r="281" spans="7:41" ht="45">
      <c r="G281" s="206" t="s">
        <v>6449</v>
      </c>
      <c r="H281" s="111">
        <v>676700.69889600005</v>
      </c>
      <c r="J281" t="s">
        <v>25</v>
      </c>
      <c r="R281" s="97" t="s">
        <v>5047</v>
      </c>
      <c r="S281" s="93">
        <v>300000</v>
      </c>
      <c r="U281" s="206" t="s">
        <v>5058</v>
      </c>
      <c r="V281" s="206">
        <v>9191</v>
      </c>
      <c r="W281" s="111">
        <v>440.24630000000002</v>
      </c>
      <c r="X281" s="111">
        <f t="shared" si="88"/>
        <v>4046303.7433000002</v>
      </c>
      <c r="Y281" s="36" t="s">
        <v>5059</v>
      </c>
      <c r="AJ281" t="s">
        <v>4046</v>
      </c>
      <c r="AK281" s="112">
        <f>SUM(N47:N56)</f>
        <v>6667348399.6000004</v>
      </c>
      <c r="AN281" t="s">
        <v>25</v>
      </c>
    </row>
    <row r="282" spans="7:41">
      <c r="G282" s="206" t="s">
        <v>6457</v>
      </c>
      <c r="H282" s="111">
        <v>1105777.5430340001</v>
      </c>
      <c r="J282" t="s">
        <v>25</v>
      </c>
      <c r="R282" s="97" t="s">
        <v>5068</v>
      </c>
      <c r="S282" s="93">
        <v>250000</v>
      </c>
      <c r="U282" s="206" t="s">
        <v>5061</v>
      </c>
      <c r="V282" s="206">
        <v>-8792</v>
      </c>
      <c r="W282" s="111">
        <v>441.90665999999999</v>
      </c>
      <c r="X282" s="111">
        <f t="shared" si="88"/>
        <v>-3885243.3547199997</v>
      </c>
      <c r="Y282" s="36" t="s">
        <v>5062</v>
      </c>
      <c r="AJ282" t="s">
        <v>4116</v>
      </c>
      <c r="AK282" s="112">
        <f>AK281-AK275</f>
        <v>6197562450.5384369</v>
      </c>
      <c r="AN282" t="s">
        <v>25</v>
      </c>
    </row>
    <row r="283" spans="7:41">
      <c r="G283" s="206" t="s">
        <v>6461</v>
      </c>
      <c r="H283" s="111">
        <v>2315234.8602510002</v>
      </c>
      <c r="R283" s="97" t="s">
        <v>5101</v>
      </c>
      <c r="S283" s="93">
        <v>200000</v>
      </c>
      <c r="U283" s="206" t="s">
        <v>5068</v>
      </c>
      <c r="V283" s="206">
        <v>530</v>
      </c>
      <c r="W283" s="111">
        <v>472</v>
      </c>
      <c r="X283" s="111">
        <f t="shared" si="88"/>
        <v>250160</v>
      </c>
      <c r="Y283" s="36" t="s">
        <v>743</v>
      </c>
      <c r="AJ283" t="s">
        <v>926</v>
      </c>
      <c r="AK283" s="112">
        <f>AO275</f>
        <v>325887254.99969399</v>
      </c>
      <c r="AO283" t="s">
        <v>25</v>
      </c>
    </row>
    <row r="284" spans="7:41" ht="30">
      <c r="G284" s="206" t="s">
        <v>6463</v>
      </c>
      <c r="H284" s="111">
        <v>4136360.6541840001</v>
      </c>
      <c r="J284" t="s">
        <v>25</v>
      </c>
      <c r="R284" s="97" t="s">
        <v>5133</v>
      </c>
      <c r="S284" s="93">
        <v>122000</v>
      </c>
      <c r="U284" s="206" t="s">
        <v>5068</v>
      </c>
      <c r="V284" s="206">
        <v>12</v>
      </c>
      <c r="W284" s="111">
        <v>481.86</v>
      </c>
      <c r="X284" s="111">
        <f t="shared" si="88"/>
        <v>5782.32</v>
      </c>
      <c r="Y284" s="36" t="s">
        <v>5070</v>
      </c>
      <c r="AJ284" t="s">
        <v>4047</v>
      </c>
      <c r="AK284" s="112">
        <f>AK281-AK280</f>
        <v>5871675195.5387421</v>
      </c>
      <c r="AO284" t="s">
        <v>25</v>
      </c>
    </row>
    <row r="285" spans="7:41">
      <c r="G285" s="206" t="s">
        <v>6465</v>
      </c>
      <c r="H285" s="111">
        <v>3035714.4702960001</v>
      </c>
      <c r="O285" t="s">
        <v>25</v>
      </c>
      <c r="R285" s="97" t="s">
        <v>5141</v>
      </c>
      <c r="S285" s="93">
        <v>200000</v>
      </c>
      <c r="T285" t="s">
        <v>25</v>
      </c>
      <c r="U285" s="206" t="s">
        <v>5094</v>
      </c>
      <c r="V285" s="206">
        <v>846</v>
      </c>
      <c r="W285" s="111">
        <v>472.7</v>
      </c>
      <c r="X285" s="111">
        <f t="shared" si="88"/>
        <v>399904.2</v>
      </c>
      <c r="Y285" s="36" t="s">
        <v>452</v>
      </c>
      <c r="AN285" t="s">
        <v>25</v>
      </c>
    </row>
    <row r="286" spans="7:41">
      <c r="G286" s="206" t="s">
        <v>6473</v>
      </c>
      <c r="H286" s="111">
        <v>93814</v>
      </c>
      <c r="R286" s="97" t="s">
        <v>5151</v>
      </c>
      <c r="S286" s="93">
        <v>60000</v>
      </c>
      <c r="U286" s="206" t="s">
        <v>5097</v>
      </c>
      <c r="V286" s="206">
        <v>191</v>
      </c>
      <c r="W286" s="111">
        <v>484.572</v>
      </c>
      <c r="X286" s="111">
        <f t="shared" si="88"/>
        <v>92553.252000000008</v>
      </c>
      <c r="Y286" s="36" t="s">
        <v>5098</v>
      </c>
      <c r="AK286" t="s">
        <v>25</v>
      </c>
    </row>
    <row r="287" spans="7:41">
      <c r="G287" s="206" t="s">
        <v>6478</v>
      </c>
      <c r="H287" s="111">
        <v>345069.28943499998</v>
      </c>
      <c r="R287" s="97" t="s">
        <v>5210</v>
      </c>
      <c r="S287" s="93">
        <v>-200000</v>
      </c>
      <c r="T287" t="s">
        <v>25</v>
      </c>
      <c r="U287" s="206" t="s">
        <v>5097</v>
      </c>
      <c r="V287" s="206">
        <v>-206</v>
      </c>
      <c r="W287" s="111">
        <v>484.572</v>
      </c>
      <c r="X287" s="111">
        <f t="shared" si="88"/>
        <v>-99821.831999999995</v>
      </c>
      <c r="Y287" s="36" t="s">
        <v>5100</v>
      </c>
    </row>
    <row r="288" spans="7:41">
      <c r="G288" s="206" t="s">
        <v>6570</v>
      </c>
      <c r="H288" s="111">
        <v>567785.37859199999</v>
      </c>
      <c r="R288" s="97" t="s">
        <v>5272</v>
      </c>
      <c r="S288" s="93">
        <v>-9000000</v>
      </c>
      <c r="U288" s="206" t="s">
        <v>5101</v>
      </c>
      <c r="V288" s="206">
        <v>20685</v>
      </c>
      <c r="W288" s="111">
        <v>483.43312200000003</v>
      </c>
      <c r="X288" s="111">
        <f t="shared" si="88"/>
        <v>9999814.1285699997</v>
      </c>
      <c r="Y288" s="36" t="s">
        <v>5103</v>
      </c>
    </row>
    <row r="289" spans="7:45">
      <c r="G289" s="206" t="s">
        <v>6581</v>
      </c>
      <c r="H289" s="111">
        <v>189683.91675</v>
      </c>
      <c r="J289" t="s">
        <v>25</v>
      </c>
      <c r="R289" s="97" t="s">
        <v>5329</v>
      </c>
      <c r="S289" s="93">
        <v>-26000000</v>
      </c>
      <c r="U289" s="206" t="s">
        <v>5101</v>
      </c>
      <c r="V289" s="206">
        <v>-413</v>
      </c>
      <c r="W289" s="111">
        <v>483.40199999999999</v>
      </c>
      <c r="X289" s="111">
        <f t="shared" si="88"/>
        <v>-199645.02599999998</v>
      </c>
      <c r="Y289" s="36" t="s">
        <v>4406</v>
      </c>
    </row>
    <row r="290" spans="7:45">
      <c r="G290" s="206" t="s">
        <v>6582</v>
      </c>
      <c r="H290" s="111">
        <v>519135.75707200001</v>
      </c>
      <c r="R290" s="97" t="s">
        <v>5333</v>
      </c>
      <c r="S290" s="93">
        <v>-95900000</v>
      </c>
      <c r="U290" s="206" t="s">
        <v>5101</v>
      </c>
      <c r="V290" s="206">
        <v>413</v>
      </c>
      <c r="W290" s="111">
        <v>483.40199999999999</v>
      </c>
      <c r="X290" s="111">
        <f t="shared" si="88"/>
        <v>199645.02599999998</v>
      </c>
      <c r="Y290" s="36" t="s">
        <v>743</v>
      </c>
    </row>
    <row r="291" spans="7:45">
      <c r="G291" s="206" t="s">
        <v>6588</v>
      </c>
      <c r="H291" s="111">
        <v>3406413.9029760002</v>
      </c>
      <c r="R291" s="97" t="s">
        <v>5334</v>
      </c>
      <c r="S291" s="93">
        <v>-28950000</v>
      </c>
      <c r="T291" t="s">
        <v>25</v>
      </c>
      <c r="U291" s="206" t="s">
        <v>5106</v>
      </c>
      <c r="V291" s="206">
        <v>-828</v>
      </c>
      <c r="W291" s="111">
        <v>483.43312200000003</v>
      </c>
      <c r="X291" s="111">
        <f t="shared" si="88"/>
        <v>-400282.62501600001</v>
      </c>
      <c r="Y291" s="36" t="s">
        <v>452</v>
      </c>
      <c r="AI291" s="97" t="s">
        <v>3623</v>
      </c>
      <c r="AJ291" s="97" t="s">
        <v>180</v>
      </c>
      <c r="AK291" s="97" t="s">
        <v>267</v>
      </c>
      <c r="AL291" s="97" t="s">
        <v>4040</v>
      </c>
      <c r="AM291" s="97" t="s">
        <v>4032</v>
      </c>
      <c r="AN291" s="97" t="s">
        <v>282</v>
      </c>
      <c r="AO291" s="97" t="s">
        <v>4265</v>
      </c>
    </row>
    <row r="292" spans="7:45">
      <c r="G292" s="409" t="s">
        <v>6590</v>
      </c>
      <c r="H292" s="77">
        <v>435036.348168</v>
      </c>
      <c r="R292" s="97" t="s">
        <v>5476</v>
      </c>
      <c r="S292" s="93">
        <v>-93000000</v>
      </c>
      <c r="T292" t="s">
        <v>25</v>
      </c>
      <c r="U292" s="206" t="s">
        <v>5109</v>
      </c>
      <c r="V292" s="206">
        <v>12</v>
      </c>
      <c r="W292" s="111">
        <v>473.61898300000001</v>
      </c>
      <c r="X292" s="111">
        <f t="shared" si="88"/>
        <v>5683.4277959999999</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5485</v>
      </c>
      <c r="S293" s="93">
        <v>50000000</v>
      </c>
      <c r="U293" s="206" t="s">
        <v>5112</v>
      </c>
      <c r="V293" s="206">
        <v>963</v>
      </c>
      <c r="W293" s="111">
        <v>477.92200000000003</v>
      </c>
      <c r="X293" s="111">
        <f t="shared" si="88"/>
        <v>460238.886</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4209</v>
      </c>
      <c r="S294" s="93">
        <v>2749471.1668000002</v>
      </c>
      <c r="U294" s="206" t="s">
        <v>5113</v>
      </c>
      <c r="V294" s="206">
        <v>2815</v>
      </c>
      <c r="W294" s="111">
        <v>461.79</v>
      </c>
      <c r="X294" s="111">
        <f t="shared" si="88"/>
        <v>1299938.8500000001</v>
      </c>
      <c r="Y294" s="36" t="s">
        <v>452</v>
      </c>
      <c r="AI294" s="97">
        <v>3</v>
      </c>
      <c r="AJ294" s="97" t="s">
        <v>4110</v>
      </c>
      <c r="AK294" s="115">
        <v>150000</v>
      </c>
      <c r="AL294" s="97">
        <v>3</v>
      </c>
      <c r="AM294" s="97">
        <f t="shared" si="89"/>
        <v>938</v>
      </c>
      <c r="AN294" s="97">
        <f t="shared" si="90"/>
        <v>140700000</v>
      </c>
      <c r="AO294" s="97"/>
    </row>
    <row r="295" spans="7:45">
      <c r="G295" s="206" t="s">
        <v>6915</v>
      </c>
      <c r="H295" s="111">
        <v>540424.560405</v>
      </c>
      <c r="R295" s="97" t="s">
        <v>5574</v>
      </c>
      <c r="S295" s="93">
        <v>-680940.07019999996</v>
      </c>
      <c r="U295" s="206" t="s">
        <v>5113</v>
      </c>
      <c r="V295" s="206">
        <v>1581</v>
      </c>
      <c r="W295" s="111">
        <v>461.79</v>
      </c>
      <c r="X295" s="111">
        <f t="shared" si="88"/>
        <v>730089.99</v>
      </c>
      <c r="Y295" s="36" t="s">
        <v>452</v>
      </c>
      <c r="Z295" t="s">
        <v>25</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5574</v>
      </c>
      <c r="S296" s="93">
        <v>-48684800.338199995</v>
      </c>
      <c r="U296" s="206" t="s">
        <v>975</v>
      </c>
      <c r="V296" s="206">
        <v>41</v>
      </c>
      <c r="W296" s="111">
        <v>514.48099999999999</v>
      </c>
      <c r="X296" s="111">
        <f t="shared" si="88"/>
        <v>21093.721000000001</v>
      </c>
      <c r="Y296" s="36" t="s">
        <v>5098</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5598</v>
      </c>
      <c r="S297" s="93">
        <v>1500000</v>
      </c>
      <c r="T297" t="s">
        <v>25</v>
      </c>
      <c r="U297" s="206" t="s">
        <v>4253</v>
      </c>
      <c r="V297" s="206">
        <v>71</v>
      </c>
      <c r="W297" s="111">
        <v>482.57</v>
      </c>
      <c r="X297" s="111">
        <f t="shared" si="88"/>
        <v>34262.47</v>
      </c>
      <c r="Y297" s="36" t="s">
        <v>5098</v>
      </c>
      <c r="AI297" s="97">
        <v>6</v>
      </c>
      <c r="AJ297" s="97" t="s">
        <v>4214</v>
      </c>
      <c r="AK297" s="115">
        <v>-65000</v>
      </c>
      <c r="AL297" s="97">
        <v>1</v>
      </c>
      <c r="AM297" s="97">
        <f t="shared" si="89"/>
        <v>911</v>
      </c>
      <c r="AN297" s="97">
        <f t="shared" si="90"/>
        <v>-59215000</v>
      </c>
      <c r="AO297" s="97"/>
    </row>
    <row r="298" spans="7:45">
      <c r="G298" s="206" t="s">
        <v>6946</v>
      </c>
      <c r="H298" s="111">
        <v>13945790.265610002</v>
      </c>
      <c r="R298" s="97" t="s">
        <v>963</v>
      </c>
      <c r="S298" s="93">
        <v>11221062</v>
      </c>
      <c r="T298" t="s">
        <v>25</v>
      </c>
      <c r="U298" s="206" t="s">
        <v>5133</v>
      </c>
      <c r="V298" s="206">
        <v>-250</v>
      </c>
      <c r="W298" s="111">
        <v>487.125</v>
      </c>
      <c r="X298" s="111">
        <f t="shared" si="88"/>
        <v>-121781.25</v>
      </c>
      <c r="Y298" s="36" t="s">
        <v>4406</v>
      </c>
      <c r="AI298" s="97">
        <v>7</v>
      </c>
      <c r="AJ298" s="97" t="s">
        <v>4285</v>
      </c>
      <c r="AK298" s="115">
        <v>-95000</v>
      </c>
      <c r="AL298" s="97">
        <v>6</v>
      </c>
      <c r="AM298" s="97">
        <f t="shared" si="89"/>
        <v>910</v>
      </c>
      <c r="AN298" s="97">
        <f t="shared" si="90"/>
        <v>-86450000</v>
      </c>
      <c r="AO298" s="97"/>
    </row>
    <row r="299" spans="7:45">
      <c r="G299" s="206" t="s">
        <v>6948</v>
      </c>
      <c r="H299" s="111">
        <v>457914.84466800001</v>
      </c>
      <c r="R299" s="97" t="s">
        <v>5804</v>
      </c>
      <c r="S299" s="93">
        <v>20031495.928431001</v>
      </c>
      <c r="U299" s="206" t="s">
        <v>5133</v>
      </c>
      <c r="V299" s="206">
        <v>250</v>
      </c>
      <c r="W299" s="111">
        <v>487.125</v>
      </c>
      <c r="X299" s="111">
        <f t="shared" si="88"/>
        <v>121781.25</v>
      </c>
      <c r="Y299" s="36" t="s">
        <v>743</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5815</v>
      </c>
      <c r="S300" s="93">
        <v>-154353015.43906799</v>
      </c>
      <c r="T300" t="s">
        <v>25</v>
      </c>
      <c r="U300" s="206" t="s">
        <v>5141</v>
      </c>
      <c r="V300" s="206">
        <v>-1439</v>
      </c>
      <c r="W300" s="111">
        <v>486.53068999999999</v>
      </c>
      <c r="X300" s="111">
        <f t="shared" si="88"/>
        <v>-700117.66290999996</v>
      </c>
      <c r="Y300" s="36" t="s">
        <v>4406</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5834</v>
      </c>
      <c r="S301" s="93">
        <v>16643927.89773</v>
      </c>
      <c r="T301" t="s">
        <v>25</v>
      </c>
      <c r="U301" s="206" t="s">
        <v>5141</v>
      </c>
      <c r="V301" s="206">
        <v>411</v>
      </c>
      <c r="W301" s="111">
        <v>486.53068999999999</v>
      </c>
      <c r="X301" s="111">
        <f t="shared" si="88"/>
        <v>199964.11358999999</v>
      </c>
      <c r="Y301" s="36" t="s">
        <v>743</v>
      </c>
      <c r="Z301" t="s">
        <v>25</v>
      </c>
      <c r="AI301" s="97">
        <v>10</v>
      </c>
      <c r="AJ301" s="97" t="s">
        <v>4287</v>
      </c>
      <c r="AK301" s="115">
        <v>10000000</v>
      </c>
      <c r="AL301" s="97">
        <v>3</v>
      </c>
      <c r="AM301" s="97">
        <f t="shared" si="89"/>
        <v>895</v>
      </c>
      <c r="AN301" s="97">
        <f t="shared" si="90"/>
        <v>8950000000</v>
      </c>
      <c r="AO301" s="97"/>
    </row>
    <row r="302" spans="7:45">
      <c r="G302" s="206" t="s">
        <v>6955</v>
      </c>
      <c r="H302" s="111">
        <v>416108</v>
      </c>
      <c r="R302" s="97" t="s">
        <v>5835</v>
      </c>
      <c r="S302" s="93">
        <v>33355467.51292</v>
      </c>
      <c r="U302" s="206" t="s">
        <v>5111</v>
      </c>
      <c r="V302" s="206">
        <v>-4290</v>
      </c>
      <c r="W302" s="111">
        <v>497.57670000000002</v>
      </c>
      <c r="X302" s="111">
        <f t="shared" si="88"/>
        <v>-2134604.0430000001</v>
      </c>
      <c r="Y302" s="36" t="s">
        <v>452</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6380</v>
      </c>
      <c r="S303" s="93">
        <v>30000000</v>
      </c>
      <c r="T303" t="s">
        <v>25</v>
      </c>
      <c r="U303" s="206" t="s">
        <v>5148</v>
      </c>
      <c r="V303" s="206">
        <v>-644</v>
      </c>
      <c r="W303" s="111">
        <v>494.76464499999997</v>
      </c>
      <c r="X303" s="111">
        <f t="shared" si="88"/>
        <v>-318628.43137999997</v>
      </c>
      <c r="Y303" s="36" t="s">
        <v>452</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6393</v>
      </c>
      <c r="S304" s="93">
        <v>6000000</v>
      </c>
      <c r="U304" s="206" t="s">
        <v>5151</v>
      </c>
      <c r="V304" s="206">
        <v>-112</v>
      </c>
      <c r="W304" s="111">
        <v>485.78</v>
      </c>
      <c r="X304" s="111">
        <f t="shared" si="88"/>
        <v>-54407.360000000001</v>
      </c>
      <c r="Y304" s="36" t="s">
        <v>452</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6478</v>
      </c>
      <c r="S305" s="93">
        <v>126128.77475900001</v>
      </c>
      <c r="U305" s="206" t="s">
        <v>5151</v>
      </c>
      <c r="V305" s="206">
        <v>123</v>
      </c>
      <c r="W305" s="111">
        <v>485.78</v>
      </c>
      <c r="X305" s="111">
        <f t="shared" si="88"/>
        <v>59750.939999999995</v>
      </c>
      <c r="Y305" s="36" t="s">
        <v>743</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t="s">
        <v>7063</v>
      </c>
      <c r="S306" s="93">
        <v>7000000</v>
      </c>
      <c r="U306" s="206" t="s">
        <v>5151</v>
      </c>
      <c r="V306" s="206">
        <v>-123</v>
      </c>
      <c r="W306" s="111">
        <v>485.78</v>
      </c>
      <c r="X306" s="111">
        <f t="shared" si="88"/>
        <v>-59750.939999999995</v>
      </c>
      <c r="Y306" s="36" t="s">
        <v>4406</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c r="S307" s="93"/>
      <c r="T307" t="s">
        <v>25</v>
      </c>
      <c r="U307" s="206" t="s">
        <v>5194</v>
      </c>
      <c r="V307" s="206">
        <v>32367</v>
      </c>
      <c r="W307" s="111">
        <v>556.12900000000002</v>
      </c>
      <c r="X307" s="111">
        <f t="shared" si="88"/>
        <v>18000227.343000002</v>
      </c>
      <c r="Y307" s="36" t="s">
        <v>452</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c r="S308" s="93"/>
      <c r="U308" s="206" t="s">
        <v>5210</v>
      </c>
      <c r="V308" s="206">
        <v>1254</v>
      </c>
      <c r="W308" s="111">
        <v>558.24400000000003</v>
      </c>
      <c r="X308" s="111">
        <f t="shared" si="88"/>
        <v>700037.97600000002</v>
      </c>
      <c r="Y308" s="36" t="s">
        <v>4406</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c r="U309" s="166" t="s">
        <v>5210</v>
      </c>
      <c r="V309" s="206">
        <v>-358</v>
      </c>
      <c r="W309" s="111">
        <v>558.24400000000003</v>
      </c>
      <c r="X309" s="111">
        <f t="shared" si="88"/>
        <v>-199851.35200000001</v>
      </c>
      <c r="Y309" s="36" t="s">
        <v>743</v>
      </c>
      <c r="AA309" t="s">
        <v>25</v>
      </c>
      <c r="AI309" s="147">
        <v>18</v>
      </c>
      <c r="AJ309" s="147" t="s">
        <v>4396</v>
      </c>
      <c r="AK309" s="186">
        <v>750000</v>
      </c>
      <c r="AL309" s="147">
        <v>1</v>
      </c>
      <c r="AM309" s="147">
        <f t="shared" si="91"/>
        <v>862</v>
      </c>
      <c r="AN309" s="147">
        <f t="shared" si="90"/>
        <v>646500000</v>
      </c>
      <c r="AO309" s="147" t="s">
        <v>649</v>
      </c>
    </row>
    <row r="310" spans="7:41">
      <c r="G310" s="206" t="s">
        <v>7077</v>
      </c>
      <c r="H310" s="111">
        <v>1870018.6536539998</v>
      </c>
      <c r="J310" t="s">
        <v>25</v>
      </c>
      <c r="R310" s="97"/>
      <c r="S310" s="93"/>
      <c r="U310" s="187" t="s">
        <v>5229</v>
      </c>
      <c r="V310" s="187">
        <v>63259</v>
      </c>
      <c r="W310" s="186">
        <v>632.31960000000004</v>
      </c>
      <c r="X310" s="186">
        <f t="shared" si="88"/>
        <v>39999905.576400004</v>
      </c>
      <c r="Y310" s="260" t="s">
        <v>1069</v>
      </c>
      <c r="AI310" s="192">
        <v>19</v>
      </c>
      <c r="AJ310" s="192" t="s">
        <v>4397</v>
      </c>
      <c r="AK310" s="193">
        <v>-604152</v>
      </c>
      <c r="AL310" s="192">
        <v>0</v>
      </c>
      <c r="AM310" s="192">
        <f t="shared" si="91"/>
        <v>861</v>
      </c>
      <c r="AN310" s="192">
        <f t="shared" si="90"/>
        <v>-520174872</v>
      </c>
      <c r="AO310" s="192" t="s">
        <v>649</v>
      </c>
    </row>
    <row r="311" spans="7:41">
      <c r="G311" s="206" t="s">
        <v>7088</v>
      </c>
      <c r="H311" s="111">
        <v>117222.435308</v>
      </c>
      <c r="R311" s="97" t="s">
        <v>25</v>
      </c>
      <c r="S311" s="93"/>
      <c r="U311" s="19" t="s">
        <v>5233</v>
      </c>
      <c r="V311" s="19">
        <v>-1278</v>
      </c>
      <c r="W311" s="115">
        <v>625.98</v>
      </c>
      <c r="X311" s="115">
        <f t="shared" si="88"/>
        <v>-800002.44000000006</v>
      </c>
      <c r="Y311" s="261" t="s">
        <v>5234</v>
      </c>
      <c r="AI311" s="97">
        <v>20</v>
      </c>
      <c r="AJ311" s="97" t="s">
        <v>4398</v>
      </c>
      <c r="AK311" s="115">
        <v>-587083</v>
      </c>
      <c r="AL311" s="97">
        <v>4</v>
      </c>
      <c r="AM311" s="97">
        <f t="shared" si="91"/>
        <v>861</v>
      </c>
      <c r="AN311" s="97">
        <f t="shared" si="90"/>
        <v>-505478463</v>
      </c>
      <c r="AO311" s="97"/>
    </row>
    <row r="312" spans="7:41">
      <c r="G312" s="206" t="s">
        <v>7092</v>
      </c>
      <c r="H312" s="111">
        <v>1940857.6749900002</v>
      </c>
      <c r="R312" s="97"/>
      <c r="S312" s="93">
        <f>SUM(S248:S311)</f>
        <v>158842622.43317199</v>
      </c>
      <c r="U312" s="19" t="s">
        <v>5238</v>
      </c>
      <c r="V312" s="19">
        <v>32049</v>
      </c>
      <c r="W312" s="115">
        <v>624.04600000000005</v>
      </c>
      <c r="X312" s="115">
        <f t="shared" si="88"/>
        <v>20000050.254000001</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P313" t="s">
        <v>25</v>
      </c>
      <c r="S313" s="97" t="s">
        <v>6</v>
      </c>
      <c r="U313" s="19" t="s">
        <v>5245</v>
      </c>
      <c r="V313" s="19">
        <v>45094</v>
      </c>
      <c r="W313" s="115">
        <v>614.13559759999998</v>
      </c>
      <c r="X313" s="115">
        <f t="shared" si="88"/>
        <v>27693830.6381744</v>
      </c>
      <c r="Y313" s="261" t="s">
        <v>5247</v>
      </c>
      <c r="Z313" t="s">
        <v>25</v>
      </c>
      <c r="AI313" s="97">
        <v>22</v>
      </c>
      <c r="AJ313" s="97" t="s">
        <v>4399</v>
      </c>
      <c r="AK313" s="115">
        <v>-189619</v>
      </c>
      <c r="AL313" s="97">
        <v>15</v>
      </c>
      <c r="AM313" s="97">
        <f t="shared" si="91"/>
        <v>857</v>
      </c>
      <c r="AN313" s="97">
        <f t="shared" si="90"/>
        <v>-162503483</v>
      </c>
      <c r="AO313" s="97"/>
    </row>
    <row r="314" spans="7:41" ht="30">
      <c r="G314" s="206"/>
      <c r="H314" s="111"/>
      <c r="P314" t="s">
        <v>25</v>
      </c>
      <c r="S314" t="s">
        <v>25</v>
      </c>
      <c r="U314" s="19" t="s">
        <v>5272</v>
      </c>
      <c r="V314" s="19">
        <v>-11804</v>
      </c>
      <c r="W314" s="115">
        <v>762.46640000000002</v>
      </c>
      <c r="X314" s="115">
        <f t="shared" si="88"/>
        <v>-9000153.3856000006</v>
      </c>
      <c r="Y314" s="261" t="s">
        <v>5274</v>
      </c>
      <c r="AI314" s="192">
        <v>23</v>
      </c>
      <c r="AJ314" s="192" t="s">
        <v>4459</v>
      </c>
      <c r="AK314" s="186">
        <v>7100</v>
      </c>
      <c r="AL314" s="192">
        <v>0</v>
      </c>
      <c r="AM314" s="147">
        <f t="shared" si="91"/>
        <v>842</v>
      </c>
      <c r="AN314" s="192">
        <f t="shared" si="90"/>
        <v>5978200</v>
      </c>
      <c r="AO314" s="192" t="s">
        <v>649</v>
      </c>
    </row>
    <row r="315" spans="7:41">
      <c r="G315" s="206"/>
      <c r="H315" s="111"/>
      <c r="R315" s="97" t="s">
        <v>452</v>
      </c>
      <c r="U315" s="19" t="s">
        <v>5315</v>
      </c>
      <c r="V315" s="19">
        <v>844</v>
      </c>
      <c r="W315" s="115">
        <v>830</v>
      </c>
      <c r="X315" s="115">
        <f t="shared" si="88"/>
        <v>700520</v>
      </c>
      <c r="Y315" s="261" t="s">
        <v>4406</v>
      </c>
      <c r="Z315" t="s">
        <v>25</v>
      </c>
      <c r="AI315" s="20">
        <v>24</v>
      </c>
      <c r="AJ315" s="20" t="s">
        <v>4459</v>
      </c>
      <c r="AK315" s="115">
        <v>-147902</v>
      </c>
      <c r="AL315" s="20">
        <v>3</v>
      </c>
      <c r="AM315" s="97">
        <f t="shared" si="91"/>
        <v>842</v>
      </c>
      <c r="AN315" s="20">
        <f t="shared" si="90"/>
        <v>-124533484</v>
      </c>
      <c r="AO315" s="20"/>
    </row>
    <row r="316" spans="7:41">
      <c r="G316" s="206"/>
      <c r="H316" s="111"/>
      <c r="R316" s="97" t="s">
        <v>4399</v>
      </c>
      <c r="S316" s="97"/>
      <c r="U316" s="19" t="s">
        <v>5319</v>
      </c>
      <c r="V316" s="19">
        <v>8662</v>
      </c>
      <c r="W316" s="115">
        <v>832.57011999999997</v>
      </c>
      <c r="X316" s="115">
        <f t="shared" si="88"/>
        <v>7211722.3794399993</v>
      </c>
      <c r="Y316" s="261" t="s">
        <v>5098</v>
      </c>
      <c r="AA316" t="s">
        <v>25</v>
      </c>
      <c r="AI316" s="147">
        <v>25</v>
      </c>
      <c r="AJ316" s="147" t="s">
        <v>4467</v>
      </c>
      <c r="AK316" s="186">
        <v>-37200</v>
      </c>
      <c r="AL316" s="147">
        <v>4</v>
      </c>
      <c r="AM316" s="147">
        <f t="shared" si="91"/>
        <v>839</v>
      </c>
      <c r="AN316" s="192">
        <f t="shared" si="90"/>
        <v>-31210800</v>
      </c>
      <c r="AO316" s="147" t="s">
        <v>649</v>
      </c>
    </row>
    <row r="317" spans="7:41" ht="30">
      <c r="G317" s="206"/>
      <c r="H317" s="111"/>
      <c r="R317" s="97" t="s">
        <v>4443</v>
      </c>
      <c r="S317" s="93">
        <v>63115000</v>
      </c>
      <c r="U317" s="19" t="s">
        <v>5320</v>
      </c>
      <c r="V317" s="19">
        <v>10253</v>
      </c>
      <c r="W317" s="115">
        <v>827.2568</v>
      </c>
      <c r="X317" s="115">
        <f t="shared" si="88"/>
        <v>8481863.9704</v>
      </c>
      <c r="Y317" s="261" t="s">
        <v>5323</v>
      </c>
      <c r="AB317" t="s">
        <v>25</v>
      </c>
      <c r="AI317" s="97">
        <v>26</v>
      </c>
      <c r="AJ317" s="97" t="s">
        <v>4494</v>
      </c>
      <c r="AK317" s="115">
        <v>-372326</v>
      </c>
      <c r="AL317" s="97">
        <v>21</v>
      </c>
      <c r="AM317" s="97">
        <f t="shared" si="91"/>
        <v>835</v>
      </c>
      <c r="AN317" s="20">
        <f t="shared" si="90"/>
        <v>-310892210</v>
      </c>
      <c r="AO317" s="97"/>
    </row>
    <row r="318" spans="7:41">
      <c r="G318" s="206"/>
      <c r="H318" s="111"/>
      <c r="R318" s="97" t="s">
        <v>4451</v>
      </c>
      <c r="S318" s="93">
        <v>13300000</v>
      </c>
      <c r="U318" s="230" t="s">
        <v>5324</v>
      </c>
      <c r="V318" s="230">
        <v>-33077</v>
      </c>
      <c r="W318" s="231">
        <v>786.02973999999995</v>
      </c>
      <c r="X318" s="231">
        <f t="shared" si="88"/>
        <v>-25999505.70998</v>
      </c>
      <c r="Y318" s="269" t="s">
        <v>5326</v>
      </c>
      <c r="AI318" s="97">
        <v>27</v>
      </c>
      <c r="AJ318" s="97" t="s">
        <v>4541</v>
      </c>
      <c r="AK318" s="115">
        <v>235062</v>
      </c>
      <c r="AL318" s="97">
        <v>0</v>
      </c>
      <c r="AM318" s="97">
        <f t="shared" si="91"/>
        <v>814</v>
      </c>
      <c r="AN318" s="20">
        <f t="shared" si="90"/>
        <v>191340468</v>
      </c>
      <c r="AO318" s="97"/>
    </row>
    <row r="319" spans="7:41">
      <c r="G319" s="206"/>
      <c r="H319" s="111"/>
      <c r="R319" s="97" t="s">
        <v>4549</v>
      </c>
      <c r="S319" s="93">
        <v>2269000</v>
      </c>
      <c r="U319" s="19" t="s">
        <v>5324</v>
      </c>
      <c r="V319" s="19">
        <v>-33077</v>
      </c>
      <c r="W319" s="115">
        <v>786.02973999999995</v>
      </c>
      <c r="X319" s="115">
        <f t="shared" si="88"/>
        <v>-25999505.70998</v>
      </c>
      <c r="Y319" s="261" t="s">
        <v>5327</v>
      </c>
      <c r="Z319" t="s">
        <v>25</v>
      </c>
      <c r="AI319" s="147">
        <v>28</v>
      </c>
      <c r="AJ319" s="147" t="s">
        <v>4541</v>
      </c>
      <c r="AK319" s="186">
        <v>235062</v>
      </c>
      <c r="AL319" s="147">
        <v>9</v>
      </c>
      <c r="AM319" s="97">
        <f t="shared" si="91"/>
        <v>814</v>
      </c>
      <c r="AN319" s="147">
        <f t="shared" si="90"/>
        <v>191340468</v>
      </c>
      <c r="AO319" s="147" t="s">
        <v>649</v>
      </c>
    </row>
    <row r="320" spans="7:41">
      <c r="G320" s="206"/>
      <c r="H320" s="111"/>
      <c r="R320" s="97" t="s">
        <v>4558</v>
      </c>
      <c r="S320" s="93">
        <v>25071612</v>
      </c>
      <c r="U320" s="19" t="s">
        <v>5324</v>
      </c>
      <c r="V320" s="19">
        <v>1983</v>
      </c>
      <c r="W320" s="115">
        <v>786.02973999999995</v>
      </c>
      <c r="X320" s="115">
        <f t="shared" si="88"/>
        <v>1558696.9744199999</v>
      </c>
      <c r="Y320" s="261" t="s">
        <v>5098</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4559</v>
      </c>
      <c r="S321" s="93">
        <v>42236984</v>
      </c>
      <c r="U321" s="230" t="s">
        <v>5328</v>
      </c>
      <c r="V321" s="230">
        <v>-119753</v>
      </c>
      <c r="W321" s="231">
        <v>800.81560000000002</v>
      </c>
      <c r="X321" s="231">
        <f t="shared" si="88"/>
        <v>-95900070.546800002</v>
      </c>
      <c r="Y321" s="269" t="s">
        <v>5326</v>
      </c>
      <c r="AI321" s="20">
        <v>30</v>
      </c>
      <c r="AJ321" s="20" t="s">
        <v>4559</v>
      </c>
      <c r="AK321" s="115">
        <v>450000</v>
      </c>
      <c r="AL321" s="20">
        <v>22</v>
      </c>
      <c r="AM321" s="97">
        <f>AL321+AM322</f>
        <v>805</v>
      </c>
      <c r="AN321" s="20">
        <f t="shared" si="90"/>
        <v>362250000</v>
      </c>
      <c r="AO321" s="20"/>
    </row>
    <row r="322" spans="7:45">
      <c r="G322" s="206"/>
      <c r="H322" s="111"/>
      <c r="R322" s="97" t="s">
        <v>4580</v>
      </c>
      <c r="S322" s="93">
        <v>19663646</v>
      </c>
      <c r="U322" s="19" t="s">
        <v>5328</v>
      </c>
      <c r="V322" s="19">
        <v>-119753</v>
      </c>
      <c r="W322" s="115">
        <v>800.81560000000002</v>
      </c>
      <c r="X322" s="115">
        <f t="shared" si="88"/>
        <v>-95900070.546800002</v>
      </c>
      <c r="Y322" s="261" t="s">
        <v>5327</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4591</v>
      </c>
      <c r="S323" s="93">
        <v>4374525</v>
      </c>
      <c r="T323" s="112"/>
      <c r="U323" s="19" t="s">
        <v>5328</v>
      </c>
      <c r="V323" s="19">
        <v>11291</v>
      </c>
      <c r="W323" s="115">
        <v>800.81560000000002</v>
      </c>
      <c r="X323" s="115">
        <f t="shared" si="88"/>
        <v>9042008.9396000002</v>
      </c>
      <c r="Y323" s="261" t="s">
        <v>452</v>
      </c>
      <c r="AB323" t="s">
        <v>25</v>
      </c>
      <c r="AI323" s="119">
        <v>32</v>
      </c>
      <c r="AJ323" s="119" t="s">
        <v>4619</v>
      </c>
      <c r="AK323" s="77">
        <v>288936</v>
      </c>
      <c r="AL323" s="119">
        <v>3</v>
      </c>
      <c r="AM323" s="119">
        <f t="shared" si="92"/>
        <v>783</v>
      </c>
      <c r="AN323" s="119">
        <f t="shared" si="93"/>
        <v>226236888</v>
      </c>
      <c r="AO323" s="201" t="s">
        <v>4630</v>
      </c>
    </row>
    <row r="324" spans="7:45">
      <c r="G324" s="206"/>
      <c r="H324" s="1"/>
      <c r="R324" s="97" t="s">
        <v>4593</v>
      </c>
      <c r="S324" s="93">
        <v>6550580</v>
      </c>
      <c r="U324" s="187" t="s">
        <v>5329</v>
      </c>
      <c r="V324" s="187">
        <v>-35361</v>
      </c>
      <c r="W324" s="186">
        <v>818.697</v>
      </c>
      <c r="X324" s="186">
        <f t="shared" si="88"/>
        <v>-28949944.616999999</v>
      </c>
      <c r="Y324" s="260" t="s">
        <v>5326</v>
      </c>
      <c r="Z324" t="s">
        <v>25</v>
      </c>
      <c r="AI324" s="119">
        <v>33</v>
      </c>
      <c r="AJ324" s="119" t="s">
        <v>4628</v>
      </c>
      <c r="AK324" s="77">
        <v>17962491</v>
      </c>
      <c r="AL324" s="119">
        <v>1</v>
      </c>
      <c r="AM324" s="119">
        <f t="shared" si="92"/>
        <v>780</v>
      </c>
      <c r="AN324" s="119">
        <f t="shared" si="93"/>
        <v>14010742980</v>
      </c>
      <c r="AO324" s="119" t="s">
        <v>4635</v>
      </c>
    </row>
    <row r="325" spans="7:45">
      <c r="G325" s="206"/>
      <c r="H325" s="1"/>
      <c r="R325" s="97" t="s">
        <v>4606</v>
      </c>
      <c r="S325" s="93">
        <v>7054895</v>
      </c>
      <c r="U325" s="19" t="s">
        <v>5329</v>
      </c>
      <c r="V325" s="19">
        <v>-35361</v>
      </c>
      <c r="W325" s="115">
        <v>818.697</v>
      </c>
      <c r="X325" s="115">
        <f t="shared" si="88"/>
        <v>-28949944.616999999</v>
      </c>
      <c r="Y325" s="261" t="s">
        <v>5327</v>
      </c>
      <c r="Z325" t="s">
        <v>25</v>
      </c>
      <c r="AA325" t="s">
        <v>25</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4617</v>
      </c>
      <c r="S326" s="93">
        <v>2145814</v>
      </c>
      <c r="U326" s="19" t="s">
        <v>5329</v>
      </c>
      <c r="V326" s="19">
        <v>116</v>
      </c>
      <c r="W326" s="115">
        <v>818.697</v>
      </c>
      <c r="X326" s="115">
        <f t="shared" si="88"/>
        <v>94968.851999999999</v>
      </c>
      <c r="Y326" s="261" t="s">
        <v>5098</v>
      </c>
      <c r="AI326" s="119">
        <v>35</v>
      </c>
      <c r="AJ326" s="119" t="s">
        <v>4640</v>
      </c>
      <c r="AK326" s="77">
        <v>23622417</v>
      </c>
      <c r="AL326" s="119">
        <v>5</v>
      </c>
      <c r="AM326" s="119">
        <f t="shared" si="92"/>
        <v>778</v>
      </c>
      <c r="AN326" s="119">
        <f t="shared" si="93"/>
        <v>18378240426</v>
      </c>
      <c r="AO326" s="119" t="s">
        <v>4642</v>
      </c>
    </row>
    <row r="327" spans="7:45">
      <c r="G327" s="280"/>
      <c r="H327" s="1"/>
      <c r="R327" s="97" t="s">
        <v>4619</v>
      </c>
      <c r="S327" s="93">
        <v>4369730</v>
      </c>
      <c r="U327" s="19" t="s">
        <v>5333</v>
      </c>
      <c r="V327" s="19">
        <v>48633</v>
      </c>
      <c r="W327" s="115">
        <v>822.47199999999998</v>
      </c>
      <c r="X327" s="115">
        <f t="shared" si="88"/>
        <v>39999280.776000001</v>
      </c>
      <c r="Y327" s="261" t="s">
        <v>5336</v>
      </c>
      <c r="AB327" t="s">
        <v>25</v>
      </c>
      <c r="AI327" s="119">
        <v>36</v>
      </c>
      <c r="AJ327" s="119" t="s">
        <v>4654</v>
      </c>
      <c r="AK327" s="77">
        <v>82496108</v>
      </c>
      <c r="AL327" s="119">
        <v>1</v>
      </c>
      <c r="AM327" s="119">
        <f t="shared" si="92"/>
        <v>773</v>
      </c>
      <c r="AN327" s="119">
        <f t="shared" si="93"/>
        <v>63769491484</v>
      </c>
      <c r="AO327" s="119" t="s">
        <v>4657</v>
      </c>
    </row>
    <row r="328" spans="7:45">
      <c r="R328" s="97" t="s">
        <v>4628</v>
      </c>
      <c r="S328" s="93">
        <v>8739459</v>
      </c>
      <c r="U328" s="19" t="s">
        <v>5333</v>
      </c>
      <c r="V328" s="19">
        <v>3412</v>
      </c>
      <c r="W328" s="115">
        <v>822.47199999999998</v>
      </c>
      <c r="X328" s="115">
        <f t="shared" si="88"/>
        <v>2806274.4640000002</v>
      </c>
      <c r="Y328" s="261" t="s">
        <v>5338</v>
      </c>
      <c r="AI328" s="119">
        <v>37</v>
      </c>
      <c r="AJ328" s="119" t="s">
        <v>4656</v>
      </c>
      <c r="AK328" s="77">
        <v>74657561</v>
      </c>
      <c r="AL328" s="119">
        <v>16</v>
      </c>
      <c r="AM328" s="119">
        <f t="shared" si="92"/>
        <v>772</v>
      </c>
      <c r="AN328" s="119">
        <f t="shared" si="93"/>
        <v>57635637092</v>
      </c>
      <c r="AO328" s="119" t="s">
        <v>4662</v>
      </c>
    </row>
    <row r="329" spans="7:45">
      <c r="R329" s="97" t="s">
        <v>3666</v>
      </c>
      <c r="S329" s="93">
        <v>6667654</v>
      </c>
      <c r="U329" s="19" t="s">
        <v>5334</v>
      </c>
      <c r="V329" s="19">
        <v>1531</v>
      </c>
      <c r="W329" s="115">
        <v>869.82500000000005</v>
      </c>
      <c r="X329" s="115">
        <f t="shared" si="88"/>
        <v>1331702.075</v>
      </c>
      <c r="Y329" s="261" t="s">
        <v>5339</v>
      </c>
      <c r="AI329" s="97">
        <v>38</v>
      </c>
      <c r="AJ329" s="97" t="s">
        <v>4725</v>
      </c>
      <c r="AK329" s="115">
        <v>665000</v>
      </c>
      <c r="AL329" s="97">
        <v>0</v>
      </c>
      <c r="AM329" s="97">
        <f t="shared" si="92"/>
        <v>756</v>
      </c>
      <c r="AN329" s="20">
        <f t="shared" si="93"/>
        <v>502740000</v>
      </c>
      <c r="AO329" s="97"/>
    </row>
    <row r="330" spans="7:45">
      <c r="G330" s="94"/>
      <c r="H330" s="9" t="s">
        <v>452</v>
      </c>
      <c r="R330" s="97" t="s">
        <v>4640</v>
      </c>
      <c r="S330" s="93">
        <v>8981245</v>
      </c>
      <c r="U330" s="19" t="s">
        <v>5342</v>
      </c>
      <c r="V330" s="19">
        <v>1019</v>
      </c>
      <c r="W330" s="115">
        <v>835.36580000000004</v>
      </c>
      <c r="X330" s="115">
        <f t="shared" si="88"/>
        <v>851237.75020000001</v>
      </c>
      <c r="Y330" s="261" t="s">
        <v>452</v>
      </c>
      <c r="AI330" s="147">
        <v>39</v>
      </c>
      <c r="AJ330" s="147" t="s">
        <v>4725</v>
      </c>
      <c r="AK330" s="186">
        <v>665000</v>
      </c>
      <c r="AL330" s="147">
        <v>4</v>
      </c>
      <c r="AM330" s="192">
        <f t="shared" si="92"/>
        <v>756</v>
      </c>
      <c r="AN330" s="192">
        <f t="shared" si="93"/>
        <v>502740000</v>
      </c>
      <c r="AO330" s="192"/>
    </row>
    <row r="331" spans="7:45">
      <c r="G331" s="94"/>
      <c r="H331" s="9" t="s">
        <v>743</v>
      </c>
      <c r="R331" s="97" t="s">
        <v>4643</v>
      </c>
      <c r="S331" s="93">
        <v>9181756</v>
      </c>
      <c r="U331" s="187" t="s">
        <v>5348</v>
      </c>
      <c r="V331" s="187">
        <v>2316</v>
      </c>
      <c r="W331" s="186">
        <v>818.697</v>
      </c>
      <c r="X331" s="186">
        <f t="shared" si="88"/>
        <v>1896102.2520000001</v>
      </c>
      <c r="Y331" s="260" t="s">
        <v>5351</v>
      </c>
      <c r="AI331" s="20">
        <v>40</v>
      </c>
      <c r="AJ331" s="20" t="s">
        <v>4734</v>
      </c>
      <c r="AK331" s="115">
        <v>2000000</v>
      </c>
      <c r="AL331" s="20">
        <v>1</v>
      </c>
      <c r="AM331" s="97">
        <f t="shared" si="92"/>
        <v>752</v>
      </c>
      <c r="AN331" s="20">
        <f t="shared" si="93"/>
        <v>1504000000</v>
      </c>
      <c r="AO331" s="97"/>
    </row>
    <row r="332" spans="7:45">
      <c r="G332" s="94"/>
      <c r="H332" s="9" t="s">
        <v>5406</v>
      </c>
      <c r="R332" s="97" t="s">
        <v>4656</v>
      </c>
      <c r="S332" s="93">
        <v>11811208</v>
      </c>
      <c r="U332" s="19" t="s">
        <v>5354</v>
      </c>
      <c r="V332" s="19">
        <v>315</v>
      </c>
      <c r="W332" s="115">
        <v>680</v>
      </c>
      <c r="X332" s="115">
        <f t="shared" si="88"/>
        <v>214200</v>
      </c>
      <c r="Y332" s="261" t="s">
        <v>5098</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4663</v>
      </c>
      <c r="S333" s="93">
        <v>41248054</v>
      </c>
      <c r="U333" s="19" t="s">
        <v>5376</v>
      </c>
      <c r="V333" s="19">
        <v>832</v>
      </c>
      <c r="W333" s="115">
        <v>784.36500000000001</v>
      </c>
      <c r="X333" s="115">
        <f t="shared" si="88"/>
        <v>652591.68000000005</v>
      </c>
      <c r="Y333" s="261" t="s">
        <v>5098</v>
      </c>
      <c r="Z333" t="s">
        <v>25</v>
      </c>
      <c r="AI333" s="147">
        <v>42</v>
      </c>
      <c r="AJ333" s="147" t="s">
        <v>4739</v>
      </c>
      <c r="AK333" s="186">
        <v>-433375</v>
      </c>
      <c r="AL333" s="147">
        <v>0</v>
      </c>
      <c r="AM333" s="147">
        <f t="shared" si="92"/>
        <v>751</v>
      </c>
      <c r="AN333" s="147">
        <f t="shared" si="94"/>
        <v>-325464625</v>
      </c>
      <c r="AO333" s="147" t="s">
        <v>4741</v>
      </c>
    </row>
    <row r="334" spans="7:45">
      <c r="H334" s="9" t="s">
        <v>5344</v>
      </c>
      <c r="R334" s="97" t="s">
        <v>4669</v>
      </c>
      <c r="S334" s="93">
        <v>37328780</v>
      </c>
      <c r="U334" s="19" t="s">
        <v>5419</v>
      </c>
      <c r="V334" s="19">
        <v>382</v>
      </c>
      <c r="W334" s="115">
        <v>1450.6065000000001</v>
      </c>
      <c r="X334" s="115">
        <f t="shared" si="88"/>
        <v>554131.68300000008</v>
      </c>
      <c r="Y334" s="261" t="s">
        <v>5098</v>
      </c>
      <c r="Z334" t="s">
        <v>25</v>
      </c>
      <c r="AI334" s="20">
        <v>43</v>
      </c>
      <c r="AJ334" s="20" t="s">
        <v>4739</v>
      </c>
      <c r="AK334" s="115">
        <v>28000000</v>
      </c>
      <c r="AL334" s="20">
        <v>1</v>
      </c>
      <c r="AM334" s="97">
        <f t="shared" si="92"/>
        <v>751</v>
      </c>
      <c r="AN334" s="20">
        <f t="shared" si="94"/>
        <v>21028000000</v>
      </c>
      <c r="AO334" s="97" t="s">
        <v>3873</v>
      </c>
    </row>
    <row r="335" spans="7:45">
      <c r="H335" s="9" t="s">
        <v>5506</v>
      </c>
      <c r="R335" s="97" t="s">
        <v>4725</v>
      </c>
      <c r="S335" s="93">
        <v>50000000</v>
      </c>
      <c r="U335" s="19" t="s">
        <v>5420</v>
      </c>
      <c r="V335" s="19">
        <v>50047</v>
      </c>
      <c r="W335" s="115">
        <v>1406.14</v>
      </c>
      <c r="X335" s="115">
        <f t="shared" si="88"/>
        <v>70373088.579999998</v>
      </c>
      <c r="Y335" s="261" t="s">
        <v>5098</v>
      </c>
      <c r="AA335" t="s">
        <v>25</v>
      </c>
      <c r="AI335" s="20">
        <v>44</v>
      </c>
      <c r="AJ335" s="20" t="s">
        <v>4748</v>
      </c>
      <c r="AK335" s="115">
        <v>160000</v>
      </c>
      <c r="AL335" s="20">
        <v>0</v>
      </c>
      <c r="AM335" s="97">
        <f t="shared" si="92"/>
        <v>750</v>
      </c>
      <c r="AN335" s="20">
        <f t="shared" si="94"/>
        <v>120000000</v>
      </c>
      <c r="AO335" s="97"/>
    </row>
    <row r="336" spans="7:45">
      <c r="H336" s="281" t="s">
        <v>5507</v>
      </c>
      <c r="R336" s="97" t="s">
        <v>4734</v>
      </c>
      <c r="S336" s="93">
        <v>68656</v>
      </c>
      <c r="U336" s="19" t="s">
        <v>5421</v>
      </c>
      <c r="V336" s="19">
        <v>846</v>
      </c>
      <c r="W336" s="115">
        <v>1441.6724569999999</v>
      </c>
      <c r="X336" s="115">
        <f t="shared" si="88"/>
        <v>1219654.8986219999</v>
      </c>
      <c r="Y336" s="261" t="s">
        <v>5098</v>
      </c>
      <c r="Z336" t="s">
        <v>25</v>
      </c>
      <c r="AA336" t="s">
        <v>25</v>
      </c>
      <c r="AI336" s="147">
        <v>45</v>
      </c>
      <c r="AJ336" s="147" t="s">
        <v>4748</v>
      </c>
      <c r="AK336" s="186">
        <v>70000</v>
      </c>
      <c r="AL336" s="147">
        <v>9</v>
      </c>
      <c r="AM336" s="147">
        <f t="shared" si="92"/>
        <v>750</v>
      </c>
      <c r="AN336" s="147">
        <f t="shared" si="94"/>
        <v>52500000</v>
      </c>
      <c r="AO336" s="147"/>
      <c r="AS336" t="s">
        <v>25</v>
      </c>
    </row>
    <row r="337" spans="8:47">
      <c r="H337" s="281" t="s">
        <v>743</v>
      </c>
      <c r="R337" s="97" t="s">
        <v>4734</v>
      </c>
      <c r="S337" s="93">
        <v>4000236</v>
      </c>
      <c r="U337" s="19" t="s">
        <v>5422</v>
      </c>
      <c r="V337" s="19">
        <v>10573</v>
      </c>
      <c r="W337" s="115">
        <v>1451.825</v>
      </c>
      <c r="X337" s="115">
        <f t="shared" si="88"/>
        <v>15350145.725</v>
      </c>
      <c r="Y337" s="261" t="s">
        <v>5098</v>
      </c>
      <c r="Z337" t="s">
        <v>25</v>
      </c>
      <c r="AI337" s="20">
        <v>46</v>
      </c>
      <c r="AJ337" s="20" t="s">
        <v>4754</v>
      </c>
      <c r="AK337" s="115">
        <v>850000</v>
      </c>
      <c r="AL337" s="20">
        <v>0</v>
      </c>
      <c r="AM337" s="97">
        <f t="shared" si="92"/>
        <v>741</v>
      </c>
      <c r="AN337" s="20">
        <f t="shared" si="94"/>
        <v>629850000</v>
      </c>
      <c r="AO337" s="97"/>
      <c r="AT337" t="s">
        <v>25</v>
      </c>
    </row>
    <row r="338" spans="8:47" ht="30">
      <c r="H338" s="9" t="s">
        <v>5508</v>
      </c>
      <c r="R338" s="97" t="s">
        <v>4739</v>
      </c>
      <c r="S338" s="93">
        <v>2250000</v>
      </c>
      <c r="U338" s="19" t="s">
        <v>5423</v>
      </c>
      <c r="V338" s="19">
        <v>85</v>
      </c>
      <c r="W338" s="115">
        <v>1423.74</v>
      </c>
      <c r="X338" s="115">
        <f t="shared" si="88"/>
        <v>121017.9</v>
      </c>
      <c r="Y338" s="261" t="s">
        <v>5424</v>
      </c>
      <c r="Z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ht="30">
      <c r="H339" s="9" t="s">
        <v>5509</v>
      </c>
      <c r="R339" s="97" t="s">
        <v>4748</v>
      </c>
      <c r="S339" s="93">
        <v>-2512200</v>
      </c>
      <c r="U339" s="19" t="s">
        <v>5427</v>
      </c>
      <c r="V339" s="19">
        <v>738</v>
      </c>
      <c r="W339" s="115">
        <v>1388.87895</v>
      </c>
      <c r="X339" s="115">
        <f t="shared" si="88"/>
        <v>1024992.6651</v>
      </c>
      <c r="Y339" s="261" t="s">
        <v>5431</v>
      </c>
      <c r="Z339" t="s">
        <v>25</v>
      </c>
      <c r="AI339" s="192">
        <v>48</v>
      </c>
      <c r="AJ339" s="192" t="s">
        <v>4767</v>
      </c>
      <c r="AK339" s="193">
        <v>30000000</v>
      </c>
      <c r="AL339" s="192">
        <v>27</v>
      </c>
      <c r="AM339" s="192">
        <f t="shared" si="95"/>
        <v>737</v>
      </c>
      <c r="AN339" s="192">
        <f t="shared" si="96"/>
        <v>22110000000</v>
      </c>
      <c r="AO339" s="192" t="s">
        <v>4768</v>
      </c>
      <c r="AT339" t="s">
        <v>25</v>
      </c>
    </row>
    <row r="340" spans="8:47">
      <c r="H340" s="9" t="s">
        <v>5536</v>
      </c>
      <c r="R340" s="97" t="s">
        <v>964</v>
      </c>
      <c r="S340" s="93">
        <v>300000</v>
      </c>
      <c r="U340" s="19" t="s">
        <v>5439</v>
      </c>
      <c r="V340" s="19">
        <v>1442</v>
      </c>
      <c r="W340" s="115">
        <v>1350.9547279999999</v>
      </c>
      <c r="X340" s="115">
        <f t="shared" si="88"/>
        <v>1948076.7177759998</v>
      </c>
      <c r="Y340" s="261" t="s">
        <v>5098</v>
      </c>
      <c r="AB340" t="s">
        <v>25</v>
      </c>
      <c r="AI340" s="20">
        <v>49</v>
      </c>
      <c r="AJ340" s="20" t="s">
        <v>4835</v>
      </c>
      <c r="AK340" s="115">
        <v>1100000</v>
      </c>
      <c r="AL340" s="20">
        <v>1</v>
      </c>
      <c r="AM340" s="20">
        <f t="shared" si="95"/>
        <v>710</v>
      </c>
      <c r="AN340" s="20">
        <f t="shared" si="96"/>
        <v>781000000</v>
      </c>
      <c r="AO340" s="20"/>
    </row>
    <row r="341" spans="8:47">
      <c r="H341" s="281"/>
      <c r="R341" s="97" t="s">
        <v>4754</v>
      </c>
      <c r="S341" s="93">
        <v>1100000</v>
      </c>
      <c r="U341" s="19" t="s">
        <v>5440</v>
      </c>
      <c r="V341" s="19">
        <v>36847</v>
      </c>
      <c r="W341" s="115">
        <v>1356.9658300000001</v>
      </c>
      <c r="X341" s="115">
        <f t="shared" si="88"/>
        <v>50000119.938010007</v>
      </c>
      <c r="Y341" s="261" t="s">
        <v>5103</v>
      </c>
      <c r="AI341" s="20">
        <v>50</v>
      </c>
      <c r="AJ341" s="20" t="s">
        <v>4836</v>
      </c>
      <c r="AK341" s="115">
        <v>450000</v>
      </c>
      <c r="AL341" s="20">
        <v>0</v>
      </c>
      <c r="AM341" s="20">
        <f t="shared" si="95"/>
        <v>709</v>
      </c>
      <c r="AN341" s="20">
        <f t="shared" si="96"/>
        <v>319050000</v>
      </c>
      <c r="AO341" s="20"/>
    </row>
    <row r="342" spans="8:47" ht="30">
      <c r="R342" s="97" t="s">
        <v>4774</v>
      </c>
      <c r="S342" s="93">
        <v>890000</v>
      </c>
      <c r="U342" s="19" t="s">
        <v>5441</v>
      </c>
      <c r="V342" s="19">
        <v>13738</v>
      </c>
      <c r="W342" s="115">
        <v>1455.82</v>
      </c>
      <c r="X342" s="115">
        <f t="shared" si="88"/>
        <v>20000055.16</v>
      </c>
      <c r="Y342" s="261" t="s">
        <v>5457</v>
      </c>
      <c r="Z342" t="s">
        <v>25</v>
      </c>
      <c r="AB342" t="s">
        <v>25</v>
      </c>
      <c r="AI342" s="147">
        <v>51</v>
      </c>
      <c r="AJ342" s="147" t="s">
        <v>4836</v>
      </c>
      <c r="AK342" s="186">
        <v>550000</v>
      </c>
      <c r="AL342" s="147">
        <v>1</v>
      </c>
      <c r="AM342" s="147">
        <f t="shared" si="95"/>
        <v>709</v>
      </c>
      <c r="AN342" s="147">
        <f t="shared" si="96"/>
        <v>389950000</v>
      </c>
      <c r="AO342" s="147"/>
    </row>
    <row r="343" spans="8:47">
      <c r="R343" s="97" t="s">
        <v>4775</v>
      </c>
      <c r="S343" s="93">
        <v>1000000</v>
      </c>
      <c r="U343" s="19" t="s">
        <v>5464</v>
      </c>
      <c r="V343" s="19">
        <v>3100</v>
      </c>
      <c r="W343" s="115">
        <v>1853.4507470000001</v>
      </c>
      <c r="X343" s="115">
        <f t="shared" si="88"/>
        <v>5745697.3157000002</v>
      </c>
      <c r="Y343" s="261" t="s">
        <v>5098</v>
      </c>
      <c r="Z343" t="s">
        <v>25</v>
      </c>
      <c r="AI343" s="147">
        <v>52</v>
      </c>
      <c r="AJ343" s="147" t="s">
        <v>4838</v>
      </c>
      <c r="AK343" s="186">
        <v>1000000</v>
      </c>
      <c r="AL343" s="147">
        <v>8</v>
      </c>
      <c r="AM343" s="147">
        <f t="shared" si="95"/>
        <v>708</v>
      </c>
      <c r="AN343" s="147">
        <f t="shared" si="96"/>
        <v>708000000</v>
      </c>
      <c r="AO343" s="147"/>
    </row>
    <row r="344" spans="8:47">
      <c r="R344" s="97" t="s">
        <v>4775</v>
      </c>
      <c r="S344" s="93">
        <v>45436311</v>
      </c>
      <c r="U344" s="19" t="s">
        <v>5465</v>
      </c>
      <c r="V344" s="19">
        <v>480</v>
      </c>
      <c r="W344" s="115">
        <v>1891.9962069999999</v>
      </c>
      <c r="X344" s="115">
        <f t="shared" si="88"/>
        <v>908158.17935999995</v>
      </c>
      <c r="Y344" s="261" t="s">
        <v>5098</v>
      </c>
      <c r="Z344" t="s">
        <v>25</v>
      </c>
      <c r="AI344" s="20">
        <v>53</v>
      </c>
      <c r="AJ344" s="20" t="s">
        <v>4847</v>
      </c>
      <c r="AK344" s="115">
        <v>-2668880</v>
      </c>
      <c r="AL344" s="20">
        <v>0</v>
      </c>
      <c r="AM344" s="20">
        <f t="shared" si="95"/>
        <v>700</v>
      </c>
      <c r="AN344" s="20">
        <f t="shared" si="96"/>
        <v>-1868216000</v>
      </c>
      <c r="AO344" s="20" t="s">
        <v>4849</v>
      </c>
    </row>
    <row r="345" spans="8:47">
      <c r="R345" s="97" t="s">
        <v>4787</v>
      </c>
      <c r="S345" s="93">
        <v>-3500000</v>
      </c>
      <c r="U345" s="19" t="s">
        <v>5466</v>
      </c>
      <c r="V345" s="19">
        <v>6522</v>
      </c>
      <c r="W345" s="115">
        <v>1938.4694340000001</v>
      </c>
      <c r="X345" s="115">
        <f t="shared" si="88"/>
        <v>12642697.648548001</v>
      </c>
      <c r="Y345" s="261" t="s">
        <v>5098</v>
      </c>
      <c r="AI345" s="147">
        <v>54</v>
      </c>
      <c r="AJ345" s="147" t="s">
        <v>4847</v>
      </c>
      <c r="AK345" s="186">
        <v>-1528620</v>
      </c>
      <c r="AL345" s="147">
        <v>0</v>
      </c>
      <c r="AM345" s="147">
        <f t="shared" si="95"/>
        <v>700</v>
      </c>
      <c r="AN345" s="147">
        <f t="shared" si="96"/>
        <v>-1070034000</v>
      </c>
      <c r="AO345" s="147" t="s">
        <v>4849</v>
      </c>
    </row>
    <row r="346" spans="8:47">
      <c r="R346" s="97" t="s">
        <v>4822</v>
      </c>
      <c r="S346" s="93">
        <v>2520000</v>
      </c>
      <c r="U346" s="19" t="s">
        <v>5467</v>
      </c>
      <c r="V346" s="19">
        <v>6197</v>
      </c>
      <c r="W346" s="115">
        <v>1984.3985499999999</v>
      </c>
      <c r="X346" s="115">
        <f t="shared" si="88"/>
        <v>12297317.81435</v>
      </c>
      <c r="Y346" s="261" t="s">
        <v>5098</v>
      </c>
      <c r="AB346" t="s">
        <v>25</v>
      </c>
      <c r="AI346" s="20">
        <v>55</v>
      </c>
      <c r="AJ346" s="20" t="s">
        <v>4847</v>
      </c>
      <c r="AK346" s="115">
        <v>50000000</v>
      </c>
      <c r="AL346" s="20">
        <v>4</v>
      </c>
      <c r="AM346" s="20">
        <f t="shared" si="95"/>
        <v>700</v>
      </c>
      <c r="AN346" s="20">
        <f t="shared" si="96"/>
        <v>35000000000</v>
      </c>
      <c r="AO346" s="20"/>
    </row>
    <row r="347" spans="8:47">
      <c r="R347" s="97" t="s">
        <v>4835</v>
      </c>
      <c r="S347" s="93">
        <v>4900000</v>
      </c>
      <c r="U347" s="19" t="s">
        <v>5468</v>
      </c>
      <c r="V347" s="19">
        <v>4646</v>
      </c>
      <c r="W347" s="115">
        <v>1928.464023</v>
      </c>
      <c r="X347" s="115">
        <f t="shared" si="88"/>
        <v>8959643.8508579992</v>
      </c>
      <c r="Y347" s="261" t="s">
        <v>5098</v>
      </c>
      <c r="AA347" t="s">
        <v>25</v>
      </c>
      <c r="AB347" t="s">
        <v>25</v>
      </c>
      <c r="AI347" s="20">
        <v>56</v>
      </c>
      <c r="AJ347" s="20" t="s">
        <v>4853</v>
      </c>
      <c r="AK347" s="115">
        <v>400000</v>
      </c>
      <c r="AL347" s="20">
        <v>4</v>
      </c>
      <c r="AM347" s="20">
        <f t="shared" ref="AM347:AM356" si="97">AL347+AM348</f>
        <v>696</v>
      </c>
      <c r="AN347" s="20">
        <f t="shared" ref="AN347:AN356" si="98">AK347*AM347</f>
        <v>278400000</v>
      </c>
      <c r="AO347" s="20"/>
    </row>
    <row r="348" spans="8:47">
      <c r="R348" s="97" t="s">
        <v>4794</v>
      </c>
      <c r="S348" s="93">
        <v>1150000</v>
      </c>
      <c r="U348" s="19" t="s">
        <v>5469</v>
      </c>
      <c r="V348" s="19">
        <v>7668</v>
      </c>
      <c r="W348" s="115">
        <v>1976.2774959999999</v>
      </c>
      <c r="X348" s="115">
        <f t="shared" si="88"/>
        <v>15154095.839328</v>
      </c>
      <c r="Y348" s="261" t="s">
        <v>5098</v>
      </c>
      <c r="AI348" s="20">
        <v>57</v>
      </c>
      <c r="AJ348" s="20" t="s">
        <v>4862</v>
      </c>
      <c r="AK348" s="115">
        <v>2000000</v>
      </c>
      <c r="AL348" s="20">
        <v>3</v>
      </c>
      <c r="AM348" s="20">
        <f t="shared" si="97"/>
        <v>692</v>
      </c>
      <c r="AN348" s="20">
        <f t="shared" si="98"/>
        <v>1384000000</v>
      </c>
      <c r="AO348" s="20"/>
    </row>
    <row r="349" spans="8:47" ht="30">
      <c r="R349" s="97" t="s">
        <v>4869</v>
      </c>
      <c r="S349" s="93">
        <v>250000</v>
      </c>
      <c r="U349" s="19" t="s">
        <v>5476</v>
      </c>
      <c r="V349" s="19">
        <v>-43325</v>
      </c>
      <c r="W349" s="115">
        <v>2146.5548840000001</v>
      </c>
      <c r="X349" s="115">
        <f t="shared" si="88"/>
        <v>-92999490.349300012</v>
      </c>
      <c r="Y349" s="261" t="s">
        <v>5477</v>
      </c>
      <c r="Z349" t="s">
        <v>25</v>
      </c>
      <c r="AI349" s="20">
        <v>58</v>
      </c>
      <c r="AJ349" s="20" t="s">
        <v>4865</v>
      </c>
      <c r="AK349" s="115">
        <v>100000</v>
      </c>
      <c r="AL349" s="20">
        <v>4</v>
      </c>
      <c r="AM349" s="20">
        <f t="shared" si="97"/>
        <v>689</v>
      </c>
      <c r="AN349" s="20">
        <f t="shared" si="98"/>
        <v>68900000</v>
      </c>
      <c r="AO349" s="20" t="s">
        <v>3873</v>
      </c>
    </row>
    <row r="350" spans="8:47">
      <c r="R350" s="97" t="s">
        <v>4872</v>
      </c>
      <c r="S350" s="93">
        <v>1403460</v>
      </c>
      <c r="T350" s="112"/>
      <c r="U350" s="19" t="s">
        <v>5484</v>
      </c>
      <c r="V350" s="19">
        <v>20888</v>
      </c>
      <c r="W350" s="115">
        <v>2428.4521530000002</v>
      </c>
      <c r="X350" s="115">
        <f t="shared" si="88"/>
        <v>50725508.571864001</v>
      </c>
      <c r="Y350" s="261" t="s">
        <v>5098</v>
      </c>
      <c r="AI350" s="20">
        <v>59</v>
      </c>
      <c r="AJ350" s="20" t="s">
        <v>4872</v>
      </c>
      <c r="AK350" s="115">
        <v>100000</v>
      </c>
      <c r="AL350" s="20">
        <v>7</v>
      </c>
      <c r="AM350" s="20">
        <f t="shared" si="97"/>
        <v>685</v>
      </c>
      <c r="AN350" s="20">
        <f t="shared" si="98"/>
        <v>68500000</v>
      </c>
      <c r="AO350" s="20"/>
    </row>
    <row r="351" spans="8:47">
      <c r="R351" s="97" t="s">
        <v>4877</v>
      </c>
      <c r="S351" s="93">
        <v>200000</v>
      </c>
      <c r="U351" s="19" t="s">
        <v>5485</v>
      </c>
      <c r="V351" s="19">
        <v>21663</v>
      </c>
      <c r="W351" s="115">
        <v>2308.0067819999999</v>
      </c>
      <c r="X351" s="115">
        <f t="shared" si="88"/>
        <v>49998350.918466002</v>
      </c>
      <c r="Y351" s="261" t="s">
        <v>5488</v>
      </c>
      <c r="Z351" t="s">
        <v>25</v>
      </c>
      <c r="AI351" s="20">
        <v>60</v>
      </c>
      <c r="AJ351" s="20" t="s">
        <v>4885</v>
      </c>
      <c r="AK351" s="115">
        <v>50000</v>
      </c>
      <c r="AL351" s="20">
        <v>0</v>
      </c>
      <c r="AM351" s="20">
        <f t="shared" si="97"/>
        <v>678</v>
      </c>
      <c r="AN351" s="20">
        <f t="shared" si="98"/>
        <v>33900000</v>
      </c>
      <c r="AO351" s="20"/>
    </row>
    <row r="352" spans="8:47">
      <c r="R352" s="97" t="s">
        <v>4882</v>
      </c>
      <c r="S352" s="93">
        <v>345000</v>
      </c>
      <c r="U352" s="19" t="s">
        <v>5485</v>
      </c>
      <c r="V352" s="19">
        <v>977</v>
      </c>
      <c r="W352" s="115">
        <v>2335.6821479999999</v>
      </c>
      <c r="X352" s="115">
        <f t="shared" si="88"/>
        <v>2281961.458596</v>
      </c>
      <c r="Y352" s="261" t="s">
        <v>5098</v>
      </c>
      <c r="AI352" s="147">
        <v>61</v>
      </c>
      <c r="AJ352" s="147" t="s">
        <v>4885</v>
      </c>
      <c r="AK352" s="186">
        <v>50000</v>
      </c>
      <c r="AL352" s="147">
        <v>3</v>
      </c>
      <c r="AM352" s="147">
        <f t="shared" si="97"/>
        <v>678</v>
      </c>
      <c r="AN352" s="147">
        <f t="shared" si="98"/>
        <v>33900000</v>
      </c>
      <c r="AO352" s="147"/>
    </row>
    <row r="353" spans="18:46">
      <c r="R353" s="97" t="s">
        <v>4885</v>
      </c>
      <c r="S353" s="93">
        <v>900000</v>
      </c>
      <c r="U353" s="19" t="s">
        <v>5492</v>
      </c>
      <c r="V353" s="19">
        <v>4155</v>
      </c>
      <c r="W353" s="115">
        <v>2647</v>
      </c>
      <c r="X353" s="115">
        <f t="shared" si="88"/>
        <v>10998285</v>
      </c>
      <c r="Y353" s="261" t="s">
        <v>5098</v>
      </c>
      <c r="AI353" s="20">
        <v>62</v>
      </c>
      <c r="AJ353" s="20" t="s">
        <v>4888</v>
      </c>
      <c r="AK353" s="115">
        <v>50000</v>
      </c>
      <c r="AL353" s="20">
        <v>0</v>
      </c>
      <c r="AM353" s="20">
        <f t="shared" si="97"/>
        <v>675</v>
      </c>
      <c r="AN353" s="20">
        <f t="shared" si="98"/>
        <v>33750000</v>
      </c>
      <c r="AO353" s="20"/>
    </row>
    <row r="354" spans="18:46">
      <c r="R354" s="97" t="s">
        <v>4893</v>
      </c>
      <c r="S354" s="93">
        <v>372517</v>
      </c>
      <c r="U354" s="19" t="s">
        <v>5493</v>
      </c>
      <c r="V354" s="19">
        <v>351</v>
      </c>
      <c r="W354" s="115">
        <v>2800.6238229999999</v>
      </c>
      <c r="X354" s="115">
        <f t="shared" si="88"/>
        <v>983018.96187300002</v>
      </c>
      <c r="Y354" s="261" t="s">
        <v>5098</v>
      </c>
      <c r="Z354" t="s">
        <v>25</v>
      </c>
      <c r="AI354" s="192">
        <v>63</v>
      </c>
      <c r="AJ354" s="192" t="s">
        <v>4888</v>
      </c>
      <c r="AK354" s="193">
        <v>50000</v>
      </c>
      <c r="AL354" s="192">
        <v>2</v>
      </c>
      <c r="AM354" s="192">
        <f t="shared" si="97"/>
        <v>675</v>
      </c>
      <c r="AN354" s="192">
        <f t="shared" si="98"/>
        <v>33750000</v>
      </c>
      <c r="AO354" s="192"/>
    </row>
    <row r="355" spans="18:46">
      <c r="R355" s="97" t="s">
        <v>4926</v>
      </c>
      <c r="S355" s="93">
        <v>6489257</v>
      </c>
      <c r="U355" s="19" t="s">
        <v>5495</v>
      </c>
      <c r="V355" s="19">
        <v>5877</v>
      </c>
      <c r="W355" s="115">
        <v>2901.0160000000001</v>
      </c>
      <c r="X355" s="115">
        <f t="shared" si="88"/>
        <v>17049271.032000002</v>
      </c>
      <c r="Y355" s="261" t="s">
        <v>5098</v>
      </c>
      <c r="Z355" t="s">
        <v>25</v>
      </c>
      <c r="AI355" s="20">
        <v>64</v>
      </c>
      <c r="AJ355" s="20" t="s">
        <v>4895</v>
      </c>
      <c r="AK355" s="115">
        <v>25000</v>
      </c>
      <c r="AL355" s="20">
        <v>0</v>
      </c>
      <c r="AM355" s="20">
        <f t="shared" si="97"/>
        <v>673</v>
      </c>
      <c r="AN355" s="20">
        <f t="shared" si="98"/>
        <v>16825000</v>
      </c>
      <c r="AO355" s="20"/>
    </row>
    <row r="356" spans="18:46">
      <c r="R356" s="97" t="s">
        <v>4937</v>
      </c>
      <c r="S356" s="93">
        <v>618000</v>
      </c>
      <c r="U356" s="19" t="s">
        <v>5498</v>
      </c>
      <c r="V356" s="19">
        <v>2374</v>
      </c>
      <c r="W356" s="115">
        <v>2877</v>
      </c>
      <c r="X356" s="115">
        <f t="shared" ref="X356:X393" si="99">V356*W356</f>
        <v>6829998</v>
      </c>
      <c r="Y356" s="261" t="s">
        <v>5098</v>
      </c>
      <c r="AI356" s="147">
        <v>65</v>
      </c>
      <c r="AJ356" s="147" t="s">
        <v>4895</v>
      </c>
      <c r="AK356" s="186">
        <v>35000</v>
      </c>
      <c r="AL356" s="147">
        <v>7</v>
      </c>
      <c r="AM356" s="147">
        <f t="shared" si="97"/>
        <v>673</v>
      </c>
      <c r="AN356" s="147">
        <f t="shared" si="98"/>
        <v>23555000</v>
      </c>
      <c r="AO356" s="147"/>
    </row>
    <row r="357" spans="18:46">
      <c r="R357" s="97" t="s">
        <v>4941</v>
      </c>
      <c r="S357" s="93">
        <v>20105000</v>
      </c>
      <c r="U357" s="19" t="s">
        <v>4209</v>
      </c>
      <c r="V357" s="19">
        <v>2532</v>
      </c>
      <c r="W357" s="115">
        <v>2757.7444</v>
      </c>
      <c r="X357" s="115">
        <f t="shared" si="99"/>
        <v>6982608.8207999999</v>
      </c>
      <c r="Y357" s="261" t="s">
        <v>5098</v>
      </c>
      <c r="AI357" s="147">
        <v>66</v>
      </c>
      <c r="AJ357" s="147" t="s">
        <v>4903</v>
      </c>
      <c r="AK357" s="186">
        <v>30000000</v>
      </c>
      <c r="AL357" s="147">
        <v>0</v>
      </c>
      <c r="AM357" s="147">
        <f t="shared" ref="AM357:AM376" si="100">AL357+AM358</f>
        <v>666</v>
      </c>
      <c r="AN357" s="147">
        <f t="shared" ref="AN357:AN376" si="101">AK357*AM357</f>
        <v>19980000000</v>
      </c>
      <c r="AO357" s="147"/>
    </row>
    <row r="358" spans="18:46" ht="18" customHeight="1">
      <c r="R358" s="97" t="s">
        <v>4942</v>
      </c>
      <c r="S358" s="93">
        <v>-21079990</v>
      </c>
      <c r="U358" s="19" t="s">
        <v>4209</v>
      </c>
      <c r="V358" s="19">
        <v>4987</v>
      </c>
      <c r="W358" s="115">
        <v>2757.7444</v>
      </c>
      <c r="X358" s="115">
        <f t="shared" si="99"/>
        <v>13752871.322800001</v>
      </c>
      <c r="Y358" s="261" t="s">
        <v>5513</v>
      </c>
      <c r="Z358" t="s">
        <v>25</v>
      </c>
      <c r="AI358" s="20">
        <v>67</v>
      </c>
      <c r="AJ358" s="20" t="s">
        <v>4903</v>
      </c>
      <c r="AK358" s="115">
        <v>6800000</v>
      </c>
      <c r="AL358" s="20">
        <v>1</v>
      </c>
      <c r="AM358" s="20">
        <f t="shared" si="100"/>
        <v>666</v>
      </c>
      <c r="AN358" s="20">
        <f t="shared" si="101"/>
        <v>4528800000</v>
      </c>
      <c r="AO358" s="20"/>
      <c r="AT358" t="s">
        <v>25</v>
      </c>
    </row>
    <row r="359" spans="18:46" ht="21" customHeight="1">
      <c r="R359" s="97" t="s">
        <v>4948</v>
      </c>
      <c r="S359" s="93">
        <v>-5949277</v>
      </c>
      <c r="T359" t="s">
        <v>25</v>
      </c>
      <c r="U359" s="19" t="s">
        <v>4209</v>
      </c>
      <c r="V359" s="19">
        <v>997</v>
      </c>
      <c r="W359" s="115">
        <v>2757.7444</v>
      </c>
      <c r="X359" s="115">
        <f t="shared" si="99"/>
        <v>2749471.1668000002</v>
      </c>
      <c r="Y359" s="261" t="s">
        <v>5514</v>
      </c>
      <c r="AI359" s="20">
        <v>68</v>
      </c>
      <c r="AJ359" s="20" t="s">
        <v>4906</v>
      </c>
      <c r="AK359" s="115">
        <v>500000</v>
      </c>
      <c r="AL359" s="20">
        <v>1</v>
      </c>
      <c r="AM359" s="20">
        <f t="shared" si="100"/>
        <v>665</v>
      </c>
      <c r="AN359" s="20">
        <f t="shared" si="101"/>
        <v>332500000</v>
      </c>
      <c r="AO359" s="20"/>
    </row>
    <row r="360" spans="18:46">
      <c r="R360" s="97" t="s">
        <v>4954</v>
      </c>
      <c r="S360" s="93">
        <v>-15370656</v>
      </c>
      <c r="U360" s="19" t="s">
        <v>5518</v>
      </c>
      <c r="V360" s="19">
        <v>2874</v>
      </c>
      <c r="W360" s="115">
        <v>2613.1284000000001</v>
      </c>
      <c r="X360" s="115">
        <f t="shared" si="99"/>
        <v>7510131.0216000006</v>
      </c>
      <c r="Y360" s="261" t="s">
        <v>5098</v>
      </c>
      <c r="AI360" s="20">
        <v>69</v>
      </c>
      <c r="AJ360" s="20" t="s">
        <v>4910</v>
      </c>
      <c r="AK360" s="115">
        <v>850000</v>
      </c>
      <c r="AL360" s="20">
        <v>5</v>
      </c>
      <c r="AM360" s="20">
        <f t="shared" si="100"/>
        <v>664</v>
      </c>
      <c r="AN360" s="20">
        <f t="shared" si="101"/>
        <v>564400000</v>
      </c>
      <c r="AO360" s="20"/>
    </row>
    <row r="361" spans="18:46">
      <c r="R361" s="97" t="s">
        <v>4954</v>
      </c>
      <c r="S361" s="93">
        <v>4960000</v>
      </c>
      <c r="U361" s="19" t="s">
        <v>5524</v>
      </c>
      <c r="V361" s="19">
        <v>2847</v>
      </c>
      <c r="W361" s="115">
        <v>2556.3841000000002</v>
      </c>
      <c r="X361" s="115">
        <f t="shared" si="99"/>
        <v>7278025.5327000003</v>
      </c>
      <c r="Y361" s="261" t="s">
        <v>5098</v>
      </c>
      <c r="AI361" s="20">
        <v>70</v>
      </c>
      <c r="AJ361" s="20" t="s">
        <v>4918</v>
      </c>
      <c r="AK361" s="115">
        <v>1130250</v>
      </c>
      <c r="AL361" s="20">
        <v>0</v>
      </c>
      <c r="AM361" s="20">
        <f t="shared" si="100"/>
        <v>659</v>
      </c>
      <c r="AN361" s="20">
        <f t="shared" si="101"/>
        <v>744834750</v>
      </c>
      <c r="AO361" s="20"/>
    </row>
    <row r="362" spans="18:46" ht="18.75" customHeight="1">
      <c r="R362" s="97" t="s">
        <v>4961</v>
      </c>
      <c r="S362" s="93">
        <v>10000000</v>
      </c>
      <c r="U362" s="19" t="s">
        <v>5524</v>
      </c>
      <c r="V362" s="19">
        <v>1222</v>
      </c>
      <c r="W362" s="115">
        <v>2556.3841000000002</v>
      </c>
      <c r="X362" s="115">
        <f t="shared" si="99"/>
        <v>3123901.3702000002</v>
      </c>
      <c r="Y362" s="261" t="s">
        <v>5525</v>
      </c>
      <c r="AI362" s="240">
        <v>71</v>
      </c>
      <c r="AJ362" s="240" t="s">
        <v>4918</v>
      </c>
      <c r="AK362" s="231">
        <v>30000</v>
      </c>
      <c r="AL362" s="240">
        <v>5</v>
      </c>
      <c r="AM362" s="240">
        <f t="shared" si="100"/>
        <v>659</v>
      </c>
      <c r="AN362" s="240">
        <f t="shared" si="101"/>
        <v>19770000</v>
      </c>
      <c r="AO362" s="240"/>
    </row>
    <row r="363" spans="18:46">
      <c r="R363" s="97" t="s">
        <v>4970</v>
      </c>
      <c r="S363" s="93">
        <v>-40570100</v>
      </c>
      <c r="U363" s="19" t="s">
        <v>5533</v>
      </c>
      <c r="V363" s="19">
        <v>73</v>
      </c>
      <c r="W363" s="115">
        <v>2672.0459999999998</v>
      </c>
      <c r="X363" s="115">
        <f t="shared" si="99"/>
        <v>195059.35799999998</v>
      </c>
      <c r="Y363" s="261" t="s">
        <v>5098</v>
      </c>
      <c r="AI363" s="20">
        <v>72</v>
      </c>
      <c r="AJ363" s="20" t="s">
        <v>4926</v>
      </c>
      <c r="AK363" s="115">
        <v>206000</v>
      </c>
      <c r="AL363" s="20">
        <v>0</v>
      </c>
      <c r="AM363" s="20">
        <f t="shared" si="100"/>
        <v>654</v>
      </c>
      <c r="AN363" s="20">
        <f t="shared" si="101"/>
        <v>134724000</v>
      </c>
      <c r="AO363" s="20"/>
    </row>
    <row r="364" spans="18:46" ht="30">
      <c r="R364" s="97" t="s">
        <v>4971</v>
      </c>
      <c r="S364" s="93">
        <v>1000000</v>
      </c>
      <c r="U364" s="19" t="s">
        <v>5538</v>
      </c>
      <c r="V364" s="19">
        <v>332</v>
      </c>
      <c r="W364" s="115">
        <v>2598.1260000000002</v>
      </c>
      <c r="X364" s="115">
        <f t="shared" si="99"/>
        <v>862577.83200000005</v>
      </c>
      <c r="Y364" s="261" t="s">
        <v>5539</v>
      </c>
      <c r="Z364" t="s">
        <v>25</v>
      </c>
      <c r="AA364" t="s">
        <v>25</v>
      </c>
      <c r="AI364" s="147">
        <v>73</v>
      </c>
      <c r="AJ364" s="147" t="s">
        <v>4926</v>
      </c>
      <c r="AK364" s="186">
        <v>206000</v>
      </c>
      <c r="AL364" s="147">
        <v>2</v>
      </c>
      <c r="AM364" s="147">
        <f t="shared" si="100"/>
        <v>654</v>
      </c>
      <c r="AN364" s="147">
        <f t="shared" si="101"/>
        <v>134724000</v>
      </c>
      <c r="AO364" s="147"/>
    </row>
    <row r="365" spans="18:46">
      <c r="R365" s="97" t="s">
        <v>4978</v>
      </c>
      <c r="S365" s="93">
        <v>400000</v>
      </c>
      <c r="U365" s="19" t="s">
        <v>5540</v>
      </c>
      <c r="V365" s="19">
        <v>346</v>
      </c>
      <c r="W365" s="115">
        <v>2659.8510000000001</v>
      </c>
      <c r="X365" s="115">
        <f t="shared" si="99"/>
        <v>920308.446</v>
      </c>
      <c r="Y365" s="261" t="s">
        <v>5098</v>
      </c>
      <c r="AI365" s="20">
        <v>74</v>
      </c>
      <c r="AJ365" s="20" t="s">
        <v>4933</v>
      </c>
      <c r="AK365" s="115">
        <v>50000</v>
      </c>
      <c r="AL365" s="20">
        <v>0</v>
      </c>
      <c r="AM365" s="20">
        <f t="shared" si="100"/>
        <v>652</v>
      </c>
      <c r="AN365" s="20">
        <f t="shared" si="101"/>
        <v>32600000</v>
      </c>
      <c r="AO365" s="20"/>
    </row>
    <row r="366" spans="18:46">
      <c r="R366" s="97" t="s">
        <v>4992</v>
      </c>
      <c r="S366" s="93">
        <v>120000</v>
      </c>
      <c r="U366" s="19" t="s">
        <v>5541</v>
      </c>
      <c r="V366" s="19">
        <v>1722</v>
      </c>
      <c r="W366" s="115">
        <v>2692.1079220000001</v>
      </c>
      <c r="X366" s="115">
        <f t="shared" si="99"/>
        <v>4635809.8416840006</v>
      </c>
      <c r="Y366" s="261" t="s">
        <v>5098</v>
      </c>
      <c r="Z366" t="s">
        <v>25</v>
      </c>
      <c r="AI366" s="240">
        <v>75</v>
      </c>
      <c r="AJ366" s="240" t="s">
        <v>4933</v>
      </c>
      <c r="AK366" s="231">
        <v>50000</v>
      </c>
      <c r="AL366" s="240">
        <v>2</v>
      </c>
      <c r="AM366" s="240">
        <f t="shared" si="100"/>
        <v>652</v>
      </c>
      <c r="AN366" s="240">
        <f t="shared" si="101"/>
        <v>32600000</v>
      </c>
      <c r="AO366" s="240"/>
    </row>
    <row r="367" spans="18:46">
      <c r="R367" s="97" t="s">
        <v>4983</v>
      </c>
      <c r="S367" s="93">
        <v>500000</v>
      </c>
      <c r="U367" s="19" t="s">
        <v>5543</v>
      </c>
      <c r="V367" s="19">
        <v>106</v>
      </c>
      <c r="W367" s="115">
        <v>2725.4</v>
      </c>
      <c r="X367" s="115">
        <f t="shared" si="99"/>
        <v>288892.40000000002</v>
      </c>
      <c r="Y367" s="261" t="s">
        <v>452</v>
      </c>
      <c r="Z367" t="s">
        <v>25</v>
      </c>
      <c r="AA367" t="s">
        <v>25</v>
      </c>
      <c r="AI367" s="20">
        <v>76</v>
      </c>
      <c r="AJ367" s="20" t="s">
        <v>4937</v>
      </c>
      <c r="AK367" s="115">
        <v>20000000</v>
      </c>
      <c r="AL367" s="20">
        <v>7</v>
      </c>
      <c r="AM367" s="20">
        <f t="shared" si="100"/>
        <v>650</v>
      </c>
      <c r="AN367" s="20">
        <f t="shared" si="101"/>
        <v>13000000000</v>
      </c>
      <c r="AO367" s="20" t="s">
        <v>4938</v>
      </c>
    </row>
    <row r="368" spans="18:46">
      <c r="R368" s="97" t="s">
        <v>5008</v>
      </c>
      <c r="S368" s="93">
        <v>744000</v>
      </c>
      <c r="U368" s="19" t="s">
        <v>5570</v>
      </c>
      <c r="V368" s="19">
        <v>25901</v>
      </c>
      <c r="W368" s="115">
        <v>2258.9090000000001</v>
      </c>
      <c r="X368" s="115">
        <f t="shared" si="99"/>
        <v>58508002.009000003</v>
      </c>
      <c r="Y368" s="261" t="s">
        <v>5098</v>
      </c>
      <c r="AC368" t="s">
        <v>25</v>
      </c>
      <c r="AI368" s="20">
        <v>77</v>
      </c>
      <c r="AJ368" s="20" t="s">
        <v>4948</v>
      </c>
      <c r="AK368" s="115">
        <v>50000</v>
      </c>
      <c r="AL368" s="20">
        <v>0</v>
      </c>
      <c r="AM368" s="20">
        <f t="shared" si="100"/>
        <v>643</v>
      </c>
      <c r="AN368" s="20">
        <f t="shared" si="101"/>
        <v>32150000</v>
      </c>
      <c r="AO368" s="20"/>
    </row>
    <row r="369" spans="18:46">
      <c r="R369" s="97" t="s">
        <v>5013</v>
      </c>
      <c r="S369" s="93">
        <v>65000</v>
      </c>
      <c r="U369" s="19" t="s">
        <v>5572</v>
      </c>
      <c r="V369" s="19">
        <v>951</v>
      </c>
      <c r="W369" s="115">
        <v>2361.2150799999999</v>
      </c>
      <c r="X369" s="115">
        <f t="shared" si="99"/>
        <v>2245515.5410799999</v>
      </c>
      <c r="Y369" s="261" t="s">
        <v>5098</v>
      </c>
      <c r="AI369" s="147">
        <v>78</v>
      </c>
      <c r="AJ369" s="147" t="s">
        <v>4948</v>
      </c>
      <c r="AK369" s="186">
        <v>50000</v>
      </c>
      <c r="AL369" s="147">
        <v>7</v>
      </c>
      <c r="AM369" s="147">
        <f t="shared" si="100"/>
        <v>643</v>
      </c>
      <c r="AN369" s="147">
        <f t="shared" si="101"/>
        <v>32150000</v>
      </c>
      <c r="AO369" s="147"/>
    </row>
    <row r="370" spans="18:46">
      <c r="R370" s="97" t="s">
        <v>4984</v>
      </c>
      <c r="S370" s="93">
        <v>-14053702</v>
      </c>
      <c r="U370" s="19" t="s">
        <v>5574</v>
      </c>
      <c r="V370" s="19">
        <v>7622</v>
      </c>
      <c r="W370" s="115">
        <v>2414.6810999999998</v>
      </c>
      <c r="X370" s="115">
        <f t="shared" si="99"/>
        <v>18404699.3442</v>
      </c>
      <c r="Y370" s="261" t="s">
        <v>5098</v>
      </c>
      <c r="AI370" s="20">
        <v>79</v>
      </c>
      <c r="AJ370" s="20" t="s">
        <v>4954</v>
      </c>
      <c r="AK370" s="115">
        <v>2480000</v>
      </c>
      <c r="AL370" s="20">
        <v>0</v>
      </c>
      <c r="AM370" s="20">
        <f t="shared" si="100"/>
        <v>636</v>
      </c>
      <c r="AN370" s="20">
        <f t="shared" si="101"/>
        <v>1577280000</v>
      </c>
      <c r="AO370" s="20"/>
    </row>
    <row r="371" spans="18:46">
      <c r="R371" s="97" t="s">
        <v>5049</v>
      </c>
      <c r="S371" s="93">
        <v>3555678</v>
      </c>
      <c r="U371" s="19" t="s">
        <v>5574</v>
      </c>
      <c r="V371" s="19">
        <v>-282</v>
      </c>
      <c r="W371" s="115">
        <v>2414.6810999999998</v>
      </c>
      <c r="X371" s="115">
        <f t="shared" si="99"/>
        <v>-680940.07019999996</v>
      </c>
      <c r="Y371" s="261" t="s">
        <v>5575</v>
      </c>
      <c r="AI371" s="147">
        <v>80</v>
      </c>
      <c r="AJ371" s="147" t="s">
        <v>4954</v>
      </c>
      <c r="AK371" s="186">
        <v>2480000</v>
      </c>
      <c r="AL371" s="147">
        <v>12</v>
      </c>
      <c r="AM371" s="147">
        <f t="shared" si="100"/>
        <v>636</v>
      </c>
      <c r="AN371" s="147">
        <f t="shared" si="101"/>
        <v>1577280000</v>
      </c>
      <c r="AO371" s="147"/>
    </row>
    <row r="372" spans="18:46">
      <c r="R372" s="97" t="s">
        <v>5053</v>
      </c>
      <c r="S372" s="93">
        <v>3495</v>
      </c>
      <c r="U372" s="19" t="s">
        <v>5574</v>
      </c>
      <c r="V372" s="19">
        <v>20162</v>
      </c>
      <c r="W372" s="115">
        <v>2414.6810999999998</v>
      </c>
      <c r="X372" s="115">
        <f t="shared" si="99"/>
        <v>48684800.338199995</v>
      </c>
      <c r="Y372" s="261" t="s">
        <v>5576</v>
      </c>
      <c r="AI372" s="20">
        <v>81</v>
      </c>
      <c r="AJ372" s="20" t="s">
        <v>4961</v>
      </c>
      <c r="AK372" s="115">
        <v>-24159500</v>
      </c>
      <c r="AL372" s="20">
        <v>4</v>
      </c>
      <c r="AM372" s="20">
        <f t="shared" si="100"/>
        <v>624</v>
      </c>
      <c r="AN372" s="20">
        <f t="shared" si="101"/>
        <v>-15075528000</v>
      </c>
      <c r="AO372" s="20" t="s">
        <v>4969</v>
      </c>
      <c r="AS372" t="s">
        <v>25</v>
      </c>
    </row>
    <row r="373" spans="18:46">
      <c r="R373" s="97" t="s">
        <v>5055</v>
      </c>
      <c r="S373" s="93">
        <v>6000000</v>
      </c>
      <c r="U373" s="19" t="s">
        <v>5574</v>
      </c>
      <c r="V373" s="19">
        <v>-20162</v>
      </c>
      <c r="W373" s="115">
        <v>2414.6810999999998</v>
      </c>
      <c r="X373" s="115">
        <f t="shared" si="99"/>
        <v>-48684800.338199995</v>
      </c>
      <c r="Y373" s="261" t="s">
        <v>743</v>
      </c>
      <c r="AI373" s="20">
        <v>82</v>
      </c>
      <c r="AJ373" s="20" t="s">
        <v>4971</v>
      </c>
      <c r="AK373" s="115">
        <v>400000</v>
      </c>
      <c r="AL373" s="20">
        <v>3</v>
      </c>
      <c r="AM373" s="20">
        <f t="shared" si="100"/>
        <v>620</v>
      </c>
      <c r="AN373" s="20">
        <f t="shared" si="101"/>
        <v>248000000</v>
      </c>
      <c r="AO373" s="20"/>
    </row>
    <row r="374" spans="18:46">
      <c r="R374" s="97" t="s">
        <v>5056</v>
      </c>
      <c r="S374" s="93">
        <v>17220</v>
      </c>
      <c r="U374" s="19" t="s">
        <v>5577</v>
      </c>
      <c r="V374" s="19">
        <v>977</v>
      </c>
      <c r="W374" s="115">
        <v>2317.971947</v>
      </c>
      <c r="X374" s="115">
        <f t="shared" si="99"/>
        <v>2264658.5922190002</v>
      </c>
      <c r="Y374" s="261" t="s">
        <v>5098</v>
      </c>
      <c r="AI374" s="147">
        <v>83</v>
      </c>
      <c r="AJ374" s="147" t="s">
        <v>4978</v>
      </c>
      <c r="AK374" s="186">
        <v>40000</v>
      </c>
      <c r="AL374" s="147">
        <v>0</v>
      </c>
      <c r="AM374" s="147">
        <f t="shared" si="100"/>
        <v>617</v>
      </c>
      <c r="AN374" s="147">
        <f t="shared" si="101"/>
        <v>24680000</v>
      </c>
      <c r="AO374" s="147"/>
      <c r="AT374" t="s">
        <v>25</v>
      </c>
    </row>
    <row r="375" spans="18:46">
      <c r="R375" s="97" t="s">
        <v>5058</v>
      </c>
      <c r="S375" s="93">
        <v>8249</v>
      </c>
      <c r="T375" t="s">
        <v>25</v>
      </c>
      <c r="U375" s="19" t="s">
        <v>5579</v>
      </c>
      <c r="V375" s="19">
        <v>10280</v>
      </c>
      <c r="W375" s="115">
        <v>2225.429357</v>
      </c>
      <c r="X375" s="115">
        <f t="shared" si="99"/>
        <v>22877413.789960001</v>
      </c>
      <c r="Y375" s="261" t="s">
        <v>5098</v>
      </c>
      <c r="AI375" s="20">
        <v>84</v>
      </c>
      <c r="AJ375" s="20" t="s">
        <v>4978</v>
      </c>
      <c r="AK375" s="115">
        <v>40000</v>
      </c>
      <c r="AL375" s="20">
        <v>5</v>
      </c>
      <c r="AM375" s="20">
        <f t="shared" si="100"/>
        <v>617</v>
      </c>
      <c r="AN375" s="20">
        <f t="shared" si="101"/>
        <v>24680000</v>
      </c>
      <c r="AO375" s="20"/>
    </row>
    <row r="376" spans="18:46">
      <c r="R376" s="97" t="s">
        <v>5058</v>
      </c>
      <c r="S376" s="93">
        <v>6937</v>
      </c>
      <c r="U376" s="19" t="s">
        <v>5582</v>
      </c>
      <c r="V376" s="19">
        <v>1022</v>
      </c>
      <c r="W376" s="115">
        <v>2311.6824240000001</v>
      </c>
      <c r="X376" s="115">
        <f t="shared" si="99"/>
        <v>2362539.4373280001</v>
      </c>
      <c r="Y376" s="261" t="s">
        <v>5098</v>
      </c>
      <c r="AI376" s="20">
        <v>85</v>
      </c>
      <c r="AJ376" s="20" t="s">
        <v>4986</v>
      </c>
      <c r="AK376" s="115">
        <v>200000</v>
      </c>
      <c r="AL376" s="20">
        <v>1</v>
      </c>
      <c r="AM376" s="20">
        <f t="shared" si="100"/>
        <v>612</v>
      </c>
      <c r="AN376" s="20">
        <f t="shared" si="101"/>
        <v>122400000</v>
      </c>
      <c r="AO376" s="20"/>
    </row>
    <row r="377" spans="18:46">
      <c r="R377" s="97" t="s">
        <v>5061</v>
      </c>
      <c r="S377" s="93">
        <v>4046552</v>
      </c>
      <c r="U377" s="19" t="s">
        <v>5583</v>
      </c>
      <c r="V377" s="19">
        <v>6818</v>
      </c>
      <c r="W377" s="115">
        <v>2352.988656</v>
      </c>
      <c r="X377" s="115">
        <f t="shared" si="99"/>
        <v>16042676.656608</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5068</v>
      </c>
      <c r="S378" s="93">
        <v>-3884943</v>
      </c>
      <c r="U378" s="19" t="s">
        <v>5584</v>
      </c>
      <c r="V378" s="19">
        <v>8023</v>
      </c>
      <c r="W378" s="115">
        <v>2293.8167079999998</v>
      </c>
      <c r="X378" s="115">
        <f t="shared" si="99"/>
        <v>18403291.448284</v>
      </c>
      <c r="Y378" s="261" t="s">
        <v>5098</v>
      </c>
      <c r="AI378" s="20">
        <v>87</v>
      </c>
      <c r="AJ378" s="20" t="s">
        <v>4992</v>
      </c>
      <c r="AK378" s="115">
        <v>500000</v>
      </c>
      <c r="AL378" s="20">
        <v>3</v>
      </c>
      <c r="AM378" s="20">
        <f t="shared" si="102"/>
        <v>609</v>
      </c>
      <c r="AN378" s="20">
        <f t="shared" si="103"/>
        <v>304500000</v>
      </c>
      <c r="AO378" s="20"/>
    </row>
    <row r="379" spans="18:46">
      <c r="R379" s="97" t="s">
        <v>5094</v>
      </c>
      <c r="S379" s="93">
        <v>6022</v>
      </c>
      <c r="U379" s="19" t="s">
        <v>5587</v>
      </c>
      <c r="V379" s="19">
        <v>4666</v>
      </c>
      <c r="W379" s="115">
        <v>2263.4906230000001</v>
      </c>
      <c r="X379" s="115">
        <f t="shared" si="99"/>
        <v>10561447.246918</v>
      </c>
      <c r="Y379" s="261" t="s">
        <v>5098</v>
      </c>
      <c r="AI379" s="20">
        <v>88</v>
      </c>
      <c r="AJ379" s="20" t="s">
        <v>4983</v>
      </c>
      <c r="AK379" s="115">
        <v>250000</v>
      </c>
      <c r="AL379" s="20">
        <v>0</v>
      </c>
      <c r="AM379" s="20">
        <f t="shared" si="102"/>
        <v>606</v>
      </c>
      <c r="AN379" s="20">
        <f t="shared" si="103"/>
        <v>151500000</v>
      </c>
      <c r="AO379" s="20"/>
    </row>
    <row r="380" spans="18:46">
      <c r="R380" s="97" t="s">
        <v>5097</v>
      </c>
      <c r="S380" s="93">
        <v>400000</v>
      </c>
      <c r="U380" s="19" t="s">
        <v>5588</v>
      </c>
      <c r="V380" s="19">
        <v>542</v>
      </c>
      <c r="W380" s="115">
        <v>2263.4906230000001</v>
      </c>
      <c r="X380" s="115">
        <f t="shared" si="99"/>
        <v>1226811.9176660001</v>
      </c>
      <c r="Y380" s="261" t="s">
        <v>5098</v>
      </c>
      <c r="AI380" s="240">
        <v>89</v>
      </c>
      <c r="AJ380" s="240" t="s">
        <v>4983</v>
      </c>
      <c r="AK380" s="231">
        <v>245000</v>
      </c>
      <c r="AL380" s="240">
        <v>16</v>
      </c>
      <c r="AM380" s="240">
        <f t="shared" si="102"/>
        <v>606</v>
      </c>
      <c r="AN380" s="240">
        <f t="shared" si="103"/>
        <v>148470000</v>
      </c>
      <c r="AO380" s="240"/>
    </row>
    <row r="381" spans="18:46">
      <c r="R381" s="97" t="s">
        <v>5097</v>
      </c>
      <c r="S381" s="93">
        <v>92847</v>
      </c>
      <c r="U381" s="19" t="s">
        <v>5589</v>
      </c>
      <c r="V381" s="19">
        <v>16629</v>
      </c>
      <c r="W381" s="115">
        <v>2367.7887540000002</v>
      </c>
      <c r="X381" s="115">
        <f t="shared" si="99"/>
        <v>39373959.190266006</v>
      </c>
      <c r="Y381" s="261" t="s">
        <v>5098</v>
      </c>
      <c r="AI381" s="20">
        <v>90</v>
      </c>
      <c r="AJ381" s="20" t="s">
        <v>5017</v>
      </c>
      <c r="AK381" s="115">
        <v>312598</v>
      </c>
      <c r="AL381" s="20">
        <v>0</v>
      </c>
      <c r="AM381" s="20">
        <f t="shared" si="102"/>
        <v>590</v>
      </c>
      <c r="AN381" s="20">
        <f t="shared" si="103"/>
        <v>184432820</v>
      </c>
      <c r="AO381" s="20"/>
      <c r="AQ381" t="s">
        <v>25</v>
      </c>
    </row>
    <row r="382" spans="18:46">
      <c r="R382" s="97" t="s">
        <v>5101</v>
      </c>
      <c r="S382" s="93">
        <v>-100000</v>
      </c>
      <c r="U382" s="19" t="s">
        <v>5594</v>
      </c>
      <c r="V382" s="19">
        <v>11765</v>
      </c>
      <c r="W382" s="115">
        <v>2354.7375320000001</v>
      </c>
      <c r="X382" s="115">
        <f t="shared" si="99"/>
        <v>27703487.063980002</v>
      </c>
      <c r="Y382" s="261" t="s">
        <v>5098</v>
      </c>
      <c r="AI382" s="20">
        <v>91</v>
      </c>
      <c r="AJ382" s="20" t="s">
        <v>5017</v>
      </c>
      <c r="AK382" s="115">
        <v>780000</v>
      </c>
      <c r="AL382" s="20">
        <v>0</v>
      </c>
      <c r="AM382" s="20">
        <f t="shared" si="102"/>
        <v>590</v>
      </c>
      <c r="AN382" s="20">
        <f t="shared" si="103"/>
        <v>460200000</v>
      </c>
      <c r="AO382" s="20"/>
    </row>
    <row r="383" spans="18:46">
      <c r="R383" s="97" t="s">
        <v>5106</v>
      </c>
      <c r="S383" s="93">
        <v>10000000</v>
      </c>
      <c r="U383" s="19" t="s">
        <v>5595</v>
      </c>
      <c r="V383" s="19">
        <v>3672</v>
      </c>
      <c r="W383" s="115">
        <v>2379.873826</v>
      </c>
      <c r="X383" s="115">
        <f t="shared" si="99"/>
        <v>8738896.6890719999</v>
      </c>
      <c r="Y383" s="261" t="s">
        <v>5098</v>
      </c>
      <c r="AA383" t="s">
        <v>25</v>
      </c>
      <c r="AI383" s="192">
        <v>92</v>
      </c>
      <c r="AJ383" s="192" t="s">
        <v>5017</v>
      </c>
      <c r="AK383" s="193">
        <v>-300000</v>
      </c>
      <c r="AL383" s="192">
        <v>1</v>
      </c>
      <c r="AM383" s="192">
        <f t="shared" si="102"/>
        <v>590</v>
      </c>
      <c r="AN383" s="192">
        <f t="shared" si="103"/>
        <v>-177000000</v>
      </c>
      <c r="AO383" s="192"/>
    </row>
    <row r="384" spans="18:46">
      <c r="R384" s="97" t="s">
        <v>5110</v>
      </c>
      <c r="S384" s="93">
        <v>-400000</v>
      </c>
      <c r="U384" s="19" t="s">
        <v>4182</v>
      </c>
      <c r="V384" s="19">
        <v>140</v>
      </c>
      <c r="W384" s="115">
        <v>2487.154767</v>
      </c>
      <c r="X384" s="115">
        <f t="shared" si="99"/>
        <v>348201.66738</v>
      </c>
      <c r="Y384" s="261" t="s">
        <v>5098</v>
      </c>
      <c r="AI384" s="20">
        <v>93</v>
      </c>
      <c r="AJ384" s="20" t="s">
        <v>4984</v>
      </c>
      <c r="AK384" s="115">
        <v>300000</v>
      </c>
      <c r="AL384" s="20">
        <v>0</v>
      </c>
      <c r="AM384" s="20">
        <f t="shared" si="102"/>
        <v>589</v>
      </c>
      <c r="AN384" s="20">
        <f t="shared" si="103"/>
        <v>176700000</v>
      </c>
      <c r="AO384" s="20"/>
    </row>
    <row r="385" spans="16:46">
      <c r="R385" s="97" t="s">
        <v>5112</v>
      </c>
      <c r="S385" s="93">
        <v>5649</v>
      </c>
      <c r="U385" s="19" t="s">
        <v>5597</v>
      </c>
      <c r="V385" s="19">
        <v>1616</v>
      </c>
      <c r="W385" s="115">
        <v>2573.0760479999999</v>
      </c>
      <c r="X385" s="115">
        <f t="shared" si="99"/>
        <v>4158090.8935679998</v>
      </c>
      <c r="Y385" s="261" t="s">
        <v>5098</v>
      </c>
      <c r="AI385" s="20">
        <v>94</v>
      </c>
      <c r="AJ385" s="20" t="s">
        <v>4984</v>
      </c>
      <c r="AK385" s="115">
        <v>8660000</v>
      </c>
      <c r="AL385" s="20">
        <v>8</v>
      </c>
      <c r="AM385" s="20">
        <f t="shared" si="102"/>
        <v>589</v>
      </c>
      <c r="AN385" s="20">
        <f t="shared" si="103"/>
        <v>5100740000</v>
      </c>
      <c r="AO385" s="20"/>
    </row>
    <row r="386" spans="16:46">
      <c r="R386" s="97" t="s">
        <v>5113</v>
      </c>
      <c r="S386" s="93">
        <v>460000</v>
      </c>
      <c r="U386" s="187" t="s">
        <v>5598</v>
      </c>
      <c r="V386" s="187">
        <v>5682</v>
      </c>
      <c r="W386" s="186">
        <v>2639.970566</v>
      </c>
      <c r="X386" s="186">
        <f t="shared" si="99"/>
        <v>15000312.756012</v>
      </c>
      <c r="Y386" s="260" t="s">
        <v>5817</v>
      </c>
      <c r="AI386" s="147">
        <v>95</v>
      </c>
      <c r="AJ386" s="147" t="s">
        <v>5034</v>
      </c>
      <c r="AK386" s="186">
        <v>200000</v>
      </c>
      <c r="AL386" s="147">
        <v>3</v>
      </c>
      <c r="AM386" s="147">
        <f t="shared" si="102"/>
        <v>581</v>
      </c>
      <c r="AN386" s="147">
        <f t="shared" si="103"/>
        <v>116200000</v>
      </c>
      <c r="AO386" s="147"/>
      <c r="AR386" t="s">
        <v>25</v>
      </c>
    </row>
    <row r="387" spans="16:46" ht="30">
      <c r="R387" s="97" t="s">
        <v>5113</v>
      </c>
      <c r="S387" s="93">
        <v>1300000</v>
      </c>
      <c r="U387" s="187" t="s">
        <v>5598</v>
      </c>
      <c r="V387" s="187">
        <v>-122</v>
      </c>
      <c r="W387" s="186">
        <v>2639.970566</v>
      </c>
      <c r="X387" s="186">
        <f t="shared" si="99"/>
        <v>-322076.40905199997</v>
      </c>
      <c r="Y387" s="260" t="s">
        <v>5853</v>
      </c>
      <c r="Z387" t="s">
        <v>25</v>
      </c>
      <c r="AG387" s="94" t="s">
        <v>25</v>
      </c>
      <c r="AI387" s="147">
        <v>96</v>
      </c>
      <c r="AJ387" s="147" t="s">
        <v>5037</v>
      </c>
      <c r="AK387" s="186">
        <v>20000</v>
      </c>
      <c r="AL387" s="147">
        <v>1</v>
      </c>
      <c r="AM387" s="147">
        <f t="shared" si="102"/>
        <v>578</v>
      </c>
      <c r="AN387" s="147">
        <f t="shared" si="103"/>
        <v>11560000</v>
      </c>
      <c r="AO387" s="147"/>
    </row>
    <row r="388" spans="16:46">
      <c r="R388" s="97" t="s">
        <v>975</v>
      </c>
      <c r="S388" s="93">
        <v>7300000</v>
      </c>
      <c r="U388" s="19" t="s">
        <v>5598</v>
      </c>
      <c r="V388" s="19">
        <v>2272</v>
      </c>
      <c r="W388" s="115">
        <v>2639.970566</v>
      </c>
      <c r="X388" s="115">
        <f t="shared" si="99"/>
        <v>5998013.1259519998</v>
      </c>
      <c r="Y388" s="261" t="s">
        <v>5607</v>
      </c>
      <c r="AI388" s="20">
        <v>97</v>
      </c>
      <c r="AJ388" s="20" t="s">
        <v>5047</v>
      </c>
      <c r="AK388" s="115">
        <v>14340000</v>
      </c>
      <c r="AL388" s="20">
        <v>7</v>
      </c>
      <c r="AM388" s="20">
        <f t="shared" si="102"/>
        <v>577</v>
      </c>
      <c r="AN388" s="20">
        <f t="shared" si="103"/>
        <v>8274180000</v>
      </c>
      <c r="AO388" s="20"/>
      <c r="AT388" t="s">
        <v>25</v>
      </c>
    </row>
    <row r="389" spans="16:46" ht="30">
      <c r="R389" s="97" t="s">
        <v>4253</v>
      </c>
      <c r="S389" s="93">
        <v>21203</v>
      </c>
      <c r="U389" s="19" t="s">
        <v>5598</v>
      </c>
      <c r="V389" s="19">
        <v>4434</v>
      </c>
      <c r="W389" s="115">
        <v>2639.970566</v>
      </c>
      <c r="X389" s="115">
        <f t="shared" si="99"/>
        <v>11705629.489644</v>
      </c>
      <c r="Y389" s="261" t="s">
        <v>5608</v>
      </c>
      <c r="AB389" t="s">
        <v>25</v>
      </c>
      <c r="AI389" s="20">
        <v>98</v>
      </c>
      <c r="AJ389" s="20" t="s">
        <v>5053</v>
      </c>
      <c r="AK389" s="115">
        <v>10000000</v>
      </c>
      <c r="AL389" s="20">
        <v>6</v>
      </c>
      <c r="AM389" s="20">
        <f t="shared" si="102"/>
        <v>570</v>
      </c>
      <c r="AN389" s="20">
        <f t="shared" si="103"/>
        <v>5700000000</v>
      </c>
      <c r="AO389" s="20" t="s">
        <v>4670</v>
      </c>
    </row>
    <row r="390" spans="16:46">
      <c r="R390" s="97" t="s">
        <v>5111</v>
      </c>
      <c r="S390" s="93">
        <v>34550</v>
      </c>
      <c r="U390" s="19" t="s">
        <v>5598</v>
      </c>
      <c r="V390" s="19">
        <v>2349</v>
      </c>
      <c r="W390" s="115">
        <v>2639.970566</v>
      </c>
      <c r="X390" s="115">
        <f t="shared" si="99"/>
        <v>6201290.859534</v>
      </c>
      <c r="Y390" s="261" t="s">
        <v>5609</v>
      </c>
      <c r="AI390" s="20">
        <v>99</v>
      </c>
      <c r="AJ390" s="20" t="s">
        <v>5058</v>
      </c>
      <c r="AK390" s="115">
        <v>4033949</v>
      </c>
      <c r="AL390" s="20">
        <v>2</v>
      </c>
      <c r="AM390" s="20">
        <f t="shared" si="102"/>
        <v>564</v>
      </c>
      <c r="AN390" s="20">
        <f t="shared" si="103"/>
        <v>2275147236</v>
      </c>
      <c r="AO390" s="20" t="s">
        <v>5060</v>
      </c>
    </row>
    <row r="391" spans="16:46" ht="30">
      <c r="R391" s="97" t="s">
        <v>5148</v>
      </c>
      <c r="S391" s="93">
        <v>-2134406</v>
      </c>
      <c r="U391" s="19" t="s">
        <v>5598</v>
      </c>
      <c r="V391" s="19">
        <v>-568</v>
      </c>
      <c r="W391" s="115">
        <v>2639.970566</v>
      </c>
      <c r="X391" s="115">
        <f t="shared" si="99"/>
        <v>-1499503.2814879999</v>
      </c>
      <c r="Y391" s="261" t="s">
        <v>5610</v>
      </c>
      <c r="Z391" t="s">
        <v>25</v>
      </c>
      <c r="AI391" s="147">
        <v>100</v>
      </c>
      <c r="AJ391" s="147" t="s">
        <v>5064</v>
      </c>
      <c r="AK391" s="186">
        <v>11500000</v>
      </c>
      <c r="AL391" s="147">
        <v>2</v>
      </c>
      <c r="AM391" s="147">
        <f t="shared" si="102"/>
        <v>562</v>
      </c>
      <c r="AN391" s="147">
        <f t="shared" si="103"/>
        <v>6463000000</v>
      </c>
      <c r="AO391" s="147" t="s">
        <v>5066</v>
      </c>
    </row>
    <row r="392" spans="16:46" ht="30">
      <c r="R392" s="97" t="s">
        <v>5151</v>
      </c>
      <c r="S392" s="93">
        <v>-618906</v>
      </c>
      <c r="U392" s="19" t="s">
        <v>5598</v>
      </c>
      <c r="V392" s="19">
        <v>568</v>
      </c>
      <c r="W392" s="115">
        <v>2639.970566</v>
      </c>
      <c r="X392" s="115">
        <f t="shared" si="99"/>
        <v>1499503.2814879999</v>
      </c>
      <c r="Y392" s="261" t="s">
        <v>5610</v>
      </c>
      <c r="AI392" s="147">
        <v>101</v>
      </c>
      <c r="AJ392" s="147" t="s">
        <v>5068</v>
      </c>
      <c r="AK392" s="186">
        <v>250000</v>
      </c>
      <c r="AL392" s="147">
        <v>3</v>
      </c>
      <c r="AM392" s="147">
        <f t="shared" si="102"/>
        <v>560</v>
      </c>
      <c r="AN392" s="147">
        <f t="shared" si="103"/>
        <v>140000000</v>
      </c>
      <c r="AO392" s="147"/>
    </row>
    <row r="393" spans="16:46">
      <c r="P393" t="s">
        <v>25</v>
      </c>
      <c r="R393" s="97" t="s">
        <v>5193</v>
      </c>
      <c r="S393" s="93">
        <v>-54615</v>
      </c>
      <c r="U393" s="19" t="s">
        <v>5601</v>
      </c>
      <c r="V393" s="19">
        <v>4589</v>
      </c>
      <c r="W393" s="115">
        <v>2639.970566</v>
      </c>
      <c r="X393" s="115">
        <f t="shared" si="99"/>
        <v>12114824.927374</v>
      </c>
      <c r="Y393" s="261" t="s">
        <v>5611</v>
      </c>
      <c r="Z393" t="s">
        <v>25</v>
      </c>
      <c r="AI393" s="147">
        <v>102</v>
      </c>
      <c r="AJ393" s="147" t="s">
        <v>5093</v>
      </c>
      <c r="AK393" s="186">
        <v>6000000</v>
      </c>
      <c r="AL393" s="147">
        <v>1</v>
      </c>
      <c r="AM393" s="147">
        <f t="shared" si="102"/>
        <v>557</v>
      </c>
      <c r="AN393" s="147">
        <f t="shared" si="103"/>
        <v>3342000000</v>
      </c>
      <c r="AO393" s="147" t="s">
        <v>5066</v>
      </c>
      <c r="AS393" t="s">
        <v>25</v>
      </c>
    </row>
    <row r="394" spans="16:46">
      <c r="R394" s="97" t="s">
        <v>5238</v>
      </c>
      <c r="S394" s="93">
        <v>18000000</v>
      </c>
      <c r="U394" s="19" t="s">
        <v>5601</v>
      </c>
      <c r="V394" s="19">
        <v>41959</v>
      </c>
      <c r="W394" s="115">
        <v>2639.970566</v>
      </c>
      <c r="X394" s="115">
        <f t="shared" ref="X394:X535" si="104">V394*W394</f>
        <v>110770524.97879399</v>
      </c>
      <c r="Y394" s="261" t="s">
        <v>5098</v>
      </c>
      <c r="AI394" s="147">
        <v>103</v>
      </c>
      <c r="AJ394" s="147" t="s">
        <v>5094</v>
      </c>
      <c r="AK394" s="186">
        <v>1500000</v>
      </c>
      <c r="AL394" s="147">
        <v>6</v>
      </c>
      <c r="AM394" s="147">
        <f t="shared" si="102"/>
        <v>556</v>
      </c>
      <c r="AN394" s="147">
        <f t="shared" si="103"/>
        <v>834000000</v>
      </c>
      <c r="AO394" s="147" t="s">
        <v>5066</v>
      </c>
    </row>
    <row r="395" spans="16:46">
      <c r="R395" s="97" t="s">
        <v>5245</v>
      </c>
      <c r="S395" s="93">
        <v>20000000</v>
      </c>
      <c r="U395" s="19" t="s">
        <v>5613</v>
      </c>
      <c r="V395" s="19">
        <v>2486</v>
      </c>
      <c r="W395" s="115">
        <v>2688.7156100000002</v>
      </c>
      <c r="X395" s="115">
        <f t="shared" si="104"/>
        <v>6684147.0064600008</v>
      </c>
      <c r="Y395" s="261" t="s">
        <v>5098</v>
      </c>
      <c r="AI395" s="20">
        <v>104</v>
      </c>
      <c r="AJ395" s="20" t="s">
        <v>958</v>
      </c>
      <c r="AK395" s="115">
        <v>-3960043</v>
      </c>
      <c r="AL395" s="20">
        <v>2</v>
      </c>
      <c r="AM395" s="20">
        <f t="shared" si="102"/>
        <v>550</v>
      </c>
      <c r="AN395" s="20">
        <f t="shared" si="103"/>
        <v>-2178023650</v>
      </c>
      <c r="AO395" s="20"/>
    </row>
    <row r="396" spans="16:46">
      <c r="R396" s="97" t="s">
        <v>5319</v>
      </c>
      <c r="S396" s="93">
        <v>27694196</v>
      </c>
      <c r="U396" s="19" t="s">
        <v>5616</v>
      </c>
      <c r="V396" s="19">
        <v>652</v>
      </c>
      <c r="W396" s="115">
        <v>2801.4344030000002</v>
      </c>
      <c r="X396" s="115">
        <f t="shared" si="104"/>
        <v>1826535.2307560001</v>
      </c>
      <c r="Y396" s="261" t="s">
        <v>5098</v>
      </c>
      <c r="AI396" s="20">
        <v>105</v>
      </c>
      <c r="AJ396" s="20" t="s">
        <v>5112</v>
      </c>
      <c r="AK396" s="115">
        <v>230000</v>
      </c>
      <c r="AL396" s="20">
        <v>0</v>
      </c>
      <c r="AM396" s="20">
        <f t="shared" si="102"/>
        <v>548</v>
      </c>
      <c r="AN396" s="20">
        <f t="shared" si="103"/>
        <v>126040000</v>
      </c>
      <c r="AO396" s="20"/>
    </row>
    <row r="397" spans="16:46">
      <c r="R397" s="97" t="s">
        <v>5320</v>
      </c>
      <c r="S397" s="93">
        <v>7211722</v>
      </c>
      <c r="T397" t="s">
        <v>25</v>
      </c>
      <c r="U397" s="187" t="s">
        <v>5616</v>
      </c>
      <c r="V397" s="187">
        <v>-536</v>
      </c>
      <c r="W397" s="186">
        <v>2801.4344030000002</v>
      </c>
      <c r="X397" s="186">
        <f t="shared" si="104"/>
        <v>-1501568.8400080001</v>
      </c>
      <c r="Y397" s="260" t="s">
        <v>5628</v>
      </c>
      <c r="AI397" s="147">
        <v>106</v>
      </c>
      <c r="AJ397" s="147" t="s">
        <v>5112</v>
      </c>
      <c r="AK397" s="186">
        <v>230000</v>
      </c>
      <c r="AL397" s="147">
        <v>1</v>
      </c>
      <c r="AM397" s="147">
        <f t="shared" si="102"/>
        <v>548</v>
      </c>
      <c r="AN397" s="147">
        <f t="shared" si="103"/>
        <v>126040000</v>
      </c>
      <c r="AO397" s="147"/>
    </row>
    <row r="398" spans="16:46" ht="21" customHeight="1">
      <c r="R398" s="97" t="s">
        <v>5324</v>
      </c>
      <c r="S398" s="93">
        <v>8481864</v>
      </c>
      <c r="U398" s="19" t="s">
        <v>5620</v>
      </c>
      <c r="V398" s="19">
        <v>1351</v>
      </c>
      <c r="W398" s="115">
        <v>2647.94</v>
      </c>
      <c r="X398" s="115">
        <f t="shared" si="104"/>
        <v>3577366.94</v>
      </c>
      <c r="Y398" s="261" t="s">
        <v>5098</v>
      </c>
      <c r="AI398" s="147">
        <v>107</v>
      </c>
      <c r="AJ398" s="147" t="s">
        <v>5113</v>
      </c>
      <c r="AK398" s="186">
        <v>500000</v>
      </c>
      <c r="AL398" s="147">
        <v>1</v>
      </c>
      <c r="AM398" s="147">
        <f t="shared" si="102"/>
        <v>547</v>
      </c>
      <c r="AN398" s="147">
        <f t="shared" si="103"/>
        <v>273500000</v>
      </c>
      <c r="AO398" s="147"/>
    </row>
    <row r="399" spans="16:46">
      <c r="R399" s="97" t="s">
        <v>5328</v>
      </c>
      <c r="S399" s="93">
        <v>1558697</v>
      </c>
      <c r="U399" s="19" t="s">
        <v>5622</v>
      </c>
      <c r="V399" s="19">
        <v>8402</v>
      </c>
      <c r="W399" s="115">
        <v>2527.8539839999999</v>
      </c>
      <c r="X399" s="115">
        <f t="shared" si="104"/>
        <v>21239029.173567999</v>
      </c>
      <c r="Y399" s="261" t="s">
        <v>5098</v>
      </c>
      <c r="AI399" s="20">
        <v>108</v>
      </c>
      <c r="AJ399" s="20" t="s">
        <v>5116</v>
      </c>
      <c r="AK399" s="115">
        <v>-880000</v>
      </c>
      <c r="AL399" s="20">
        <v>4</v>
      </c>
      <c r="AM399" s="20">
        <f t="shared" si="102"/>
        <v>546</v>
      </c>
      <c r="AN399" s="20">
        <f t="shared" si="103"/>
        <v>-480480000</v>
      </c>
      <c r="AO399" s="20"/>
    </row>
    <row r="400" spans="16:46" ht="18" customHeight="1">
      <c r="R400" s="97" t="s">
        <v>5329</v>
      </c>
      <c r="S400" s="93">
        <v>9042009</v>
      </c>
      <c r="U400" s="19" t="s">
        <v>5625</v>
      </c>
      <c r="V400" s="19">
        <v>98141</v>
      </c>
      <c r="W400" s="115">
        <v>2475.593813</v>
      </c>
      <c r="X400" s="115">
        <f t="shared" si="104"/>
        <v>242957252.40163299</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5333</v>
      </c>
      <c r="S401" s="93">
        <v>94969</v>
      </c>
      <c r="U401" s="19" t="s">
        <v>5629</v>
      </c>
      <c r="V401" s="19">
        <v>2910</v>
      </c>
      <c r="W401" s="115">
        <v>2528.240988</v>
      </c>
      <c r="X401" s="115">
        <f t="shared" si="104"/>
        <v>7357181.2750800001</v>
      </c>
      <c r="Y401" s="261" t="s">
        <v>5098</v>
      </c>
      <c r="AA401" t="s">
        <v>25</v>
      </c>
      <c r="AE401" t="s">
        <v>25</v>
      </c>
      <c r="AI401" s="20">
        <v>110</v>
      </c>
      <c r="AJ401" s="20" t="s">
        <v>5120</v>
      </c>
      <c r="AK401" s="115">
        <v>127000</v>
      </c>
      <c r="AL401" s="20">
        <v>0</v>
      </c>
      <c r="AM401" s="20">
        <f t="shared" si="102"/>
        <v>542</v>
      </c>
      <c r="AN401" s="20">
        <f t="shared" si="103"/>
        <v>68834000</v>
      </c>
      <c r="AO401" s="20" t="s">
        <v>5066</v>
      </c>
    </row>
    <row r="402" spans="18:46">
      <c r="R402" s="97" t="s">
        <v>5333</v>
      </c>
      <c r="S402" s="93">
        <v>40000000</v>
      </c>
      <c r="U402" s="19" t="s">
        <v>5631</v>
      </c>
      <c r="V402" s="19">
        <v>5652</v>
      </c>
      <c r="W402" s="115">
        <v>2645.3312000000001</v>
      </c>
      <c r="X402" s="115">
        <f t="shared" si="104"/>
        <v>14951411.942400001</v>
      </c>
      <c r="Y402" s="261" t="s">
        <v>5098</v>
      </c>
      <c r="AI402" s="20">
        <v>111</v>
      </c>
      <c r="AJ402" s="20" t="s">
        <v>5120</v>
      </c>
      <c r="AK402" s="115">
        <v>73000</v>
      </c>
      <c r="AL402" s="20">
        <v>1</v>
      </c>
      <c r="AM402" s="20">
        <f t="shared" si="102"/>
        <v>542</v>
      </c>
      <c r="AN402" s="20">
        <f t="shared" si="103"/>
        <v>39566000</v>
      </c>
      <c r="AO402" s="20"/>
      <c r="AT402" t="s">
        <v>25</v>
      </c>
    </row>
    <row r="403" spans="18:46">
      <c r="R403" s="97" t="s">
        <v>5334</v>
      </c>
      <c r="S403" s="93">
        <v>2806274</v>
      </c>
      <c r="U403" s="19" t="s">
        <v>5635</v>
      </c>
      <c r="V403" s="19">
        <v>18764</v>
      </c>
      <c r="W403" s="115">
        <v>2554.2639829999998</v>
      </c>
      <c r="X403" s="115">
        <f t="shared" si="104"/>
        <v>47928209.377011999</v>
      </c>
      <c r="Y403" s="261" t="s">
        <v>5098</v>
      </c>
      <c r="AI403" s="20">
        <v>112</v>
      </c>
      <c r="AJ403" s="20" t="s">
        <v>975</v>
      </c>
      <c r="AK403" s="115">
        <v>4300000</v>
      </c>
      <c r="AL403" s="20">
        <v>1</v>
      </c>
      <c r="AM403" s="20">
        <f t="shared" si="102"/>
        <v>541</v>
      </c>
      <c r="AN403" s="20">
        <f t="shared" si="103"/>
        <v>2326300000</v>
      </c>
      <c r="AO403" s="20"/>
    </row>
    <row r="404" spans="18:46">
      <c r="R404" s="97" t="s">
        <v>5342</v>
      </c>
      <c r="S404" s="93">
        <v>1331702</v>
      </c>
      <c r="U404" s="19" t="s">
        <v>5637</v>
      </c>
      <c r="V404" s="19">
        <v>930</v>
      </c>
      <c r="W404" s="115">
        <v>2453.3287089999999</v>
      </c>
      <c r="X404" s="115">
        <f t="shared" si="104"/>
        <v>2281595.69937</v>
      </c>
      <c r="Y404" s="261" t="s">
        <v>5098</v>
      </c>
      <c r="AB404" t="s">
        <v>25</v>
      </c>
      <c r="AI404" s="20">
        <v>113</v>
      </c>
      <c r="AJ404" s="20" t="s">
        <v>4996</v>
      </c>
      <c r="AK404" s="115">
        <v>1600000</v>
      </c>
      <c r="AL404" s="20">
        <v>0</v>
      </c>
      <c r="AM404" s="20">
        <f t="shared" si="102"/>
        <v>540</v>
      </c>
      <c r="AN404" s="20">
        <f t="shared" si="103"/>
        <v>864000000</v>
      </c>
      <c r="AO404" s="20"/>
    </row>
    <row r="405" spans="18:46">
      <c r="R405" s="97" t="s">
        <v>5376</v>
      </c>
      <c r="S405" s="93">
        <v>851238</v>
      </c>
      <c r="U405" s="19" t="s">
        <v>5639</v>
      </c>
      <c r="V405" s="19">
        <v>1167</v>
      </c>
      <c r="W405" s="115">
        <v>2540.6307069999998</v>
      </c>
      <c r="X405" s="115">
        <f t="shared" si="104"/>
        <v>2964916.035069</v>
      </c>
      <c r="Y405" s="261" t="s">
        <v>5098</v>
      </c>
      <c r="AI405" s="20">
        <v>114</v>
      </c>
      <c r="AJ405" s="20" t="s">
        <v>4253</v>
      </c>
      <c r="AK405" s="115">
        <v>-10000000</v>
      </c>
      <c r="AL405" s="20">
        <v>1</v>
      </c>
      <c r="AM405" s="20">
        <f t="shared" si="102"/>
        <v>540</v>
      </c>
      <c r="AN405" s="20">
        <f t="shared" si="103"/>
        <v>-5400000000</v>
      </c>
      <c r="AO405" s="20" t="s">
        <v>5126</v>
      </c>
    </row>
    <row r="406" spans="18:46">
      <c r="R406" s="97" t="s">
        <v>5419</v>
      </c>
      <c r="S406" s="93">
        <v>652592</v>
      </c>
      <c r="U406" s="19" t="s">
        <v>5640</v>
      </c>
      <c r="V406" s="19">
        <v>2538</v>
      </c>
      <c r="W406" s="115">
        <v>2545.5277489999999</v>
      </c>
      <c r="X406" s="115">
        <f t="shared" si="104"/>
        <v>6460549.4269619994</v>
      </c>
      <c r="Y406" s="261" t="s">
        <v>5098</v>
      </c>
      <c r="AA406" t="s">
        <v>25</v>
      </c>
      <c r="AB406" t="s">
        <v>25</v>
      </c>
      <c r="AI406" s="20">
        <v>115</v>
      </c>
      <c r="AJ406" s="20" t="s">
        <v>5125</v>
      </c>
      <c r="AK406" s="115">
        <v>571000</v>
      </c>
      <c r="AL406" s="20">
        <v>4</v>
      </c>
      <c r="AM406" s="20">
        <f t="shared" si="102"/>
        <v>539</v>
      </c>
      <c r="AN406" s="20">
        <f t="shared" si="103"/>
        <v>307769000</v>
      </c>
      <c r="AO406" s="20"/>
    </row>
    <row r="407" spans="18:46">
      <c r="R407" s="97" t="s">
        <v>5420</v>
      </c>
      <c r="S407" s="93">
        <v>554139</v>
      </c>
      <c r="U407" s="19" t="s">
        <v>5642</v>
      </c>
      <c r="V407" s="19">
        <v>2106</v>
      </c>
      <c r="W407" s="115">
        <v>2474.9857059999999</v>
      </c>
      <c r="X407" s="115">
        <f t="shared" si="104"/>
        <v>5212319.8968359996</v>
      </c>
      <c r="Y407" s="261" t="s">
        <v>5098</v>
      </c>
      <c r="AB407" t="s">
        <v>25</v>
      </c>
      <c r="AI407" s="20">
        <v>116</v>
      </c>
      <c r="AJ407" s="20" t="s">
        <v>5127</v>
      </c>
      <c r="AK407" s="115">
        <v>200000</v>
      </c>
      <c r="AL407" s="20">
        <v>3</v>
      </c>
      <c r="AM407" s="20">
        <f t="shared" ref="AM407:AM418" si="105">AL407+AM408</f>
        <v>535</v>
      </c>
      <c r="AN407" s="20">
        <f t="shared" ref="AN407:AN418" si="106">AK407*AM407</f>
        <v>107000000</v>
      </c>
      <c r="AO407" s="20"/>
    </row>
    <row r="408" spans="18:46">
      <c r="R408" s="97" t="s">
        <v>5421</v>
      </c>
      <c r="S408" s="93">
        <v>70373089</v>
      </c>
      <c r="U408" s="19" t="s">
        <v>5645</v>
      </c>
      <c r="V408" s="19">
        <v>1801</v>
      </c>
      <c r="W408" s="115">
        <v>2512.2134809999998</v>
      </c>
      <c r="X408" s="115">
        <f t="shared" si="104"/>
        <v>4524496.4792809999</v>
      </c>
      <c r="Y408" s="261" t="s">
        <v>5098</v>
      </c>
      <c r="AI408" s="147">
        <v>117</v>
      </c>
      <c r="AJ408" s="147" t="s">
        <v>5133</v>
      </c>
      <c r="AK408" s="186">
        <v>50000</v>
      </c>
      <c r="AL408" s="147">
        <v>7</v>
      </c>
      <c r="AM408" s="147">
        <f t="shared" si="105"/>
        <v>532</v>
      </c>
      <c r="AN408" s="147">
        <f t="shared" si="106"/>
        <v>26600000</v>
      </c>
      <c r="AO408" s="147"/>
    </row>
    <row r="409" spans="18:46">
      <c r="R409" s="97" t="s">
        <v>5422</v>
      </c>
      <c r="S409" s="93">
        <v>1219655</v>
      </c>
      <c r="U409" s="19" t="s">
        <v>5647</v>
      </c>
      <c r="V409" s="19">
        <v>9184</v>
      </c>
      <c r="W409" s="115">
        <v>2489.76919</v>
      </c>
      <c r="X409" s="115">
        <f t="shared" si="104"/>
        <v>22866040.240959998</v>
      </c>
      <c r="Y409" s="261" t="s">
        <v>5098</v>
      </c>
      <c r="AI409" s="20">
        <v>118</v>
      </c>
      <c r="AJ409" s="20" t="s">
        <v>5141</v>
      </c>
      <c r="AK409" s="115">
        <v>-500000</v>
      </c>
      <c r="AL409" s="20">
        <v>12</v>
      </c>
      <c r="AM409" s="20">
        <f t="shared" si="105"/>
        <v>525</v>
      </c>
      <c r="AN409" s="20">
        <f t="shared" si="106"/>
        <v>-262500000</v>
      </c>
      <c r="AO409" s="20"/>
    </row>
    <row r="410" spans="18:46">
      <c r="R410" s="97" t="s">
        <v>5423</v>
      </c>
      <c r="S410" s="93">
        <v>15350146</v>
      </c>
      <c r="U410" s="19" t="s">
        <v>5649</v>
      </c>
      <c r="V410" s="19">
        <v>6259</v>
      </c>
      <c r="W410" s="115">
        <v>2453.954988</v>
      </c>
      <c r="X410" s="115">
        <f t="shared" si="104"/>
        <v>15359304.269892</v>
      </c>
      <c r="Y410" s="261" t="s">
        <v>5098</v>
      </c>
      <c r="Z410" t="s">
        <v>25</v>
      </c>
      <c r="AI410" s="147">
        <v>119</v>
      </c>
      <c r="AJ410" s="147" t="s">
        <v>974</v>
      </c>
      <c r="AK410" s="186">
        <v>-50000</v>
      </c>
      <c r="AL410" s="147">
        <v>0</v>
      </c>
      <c r="AM410" s="147">
        <f t="shared" si="105"/>
        <v>513</v>
      </c>
      <c r="AN410" s="147">
        <f t="shared" si="106"/>
        <v>-25650000</v>
      </c>
      <c r="AO410" s="147"/>
    </row>
    <row r="411" spans="18:46">
      <c r="R411" s="97" t="s">
        <v>5427</v>
      </c>
      <c r="S411" s="93">
        <v>121018</v>
      </c>
      <c r="U411" s="19" t="s">
        <v>5651</v>
      </c>
      <c r="V411" s="19">
        <v>1223</v>
      </c>
      <c r="W411" s="115">
        <v>2345.4686710000001</v>
      </c>
      <c r="X411" s="115">
        <f t="shared" si="104"/>
        <v>2868508.1846330003</v>
      </c>
      <c r="Y411" s="261" t="s">
        <v>5098</v>
      </c>
      <c r="AI411" s="20">
        <v>120</v>
      </c>
      <c r="AJ411" s="20" t="s">
        <v>974</v>
      </c>
      <c r="AK411" s="115">
        <v>-50000</v>
      </c>
      <c r="AL411" s="20">
        <v>28</v>
      </c>
      <c r="AM411" s="20">
        <f t="shared" si="105"/>
        <v>513</v>
      </c>
      <c r="AN411" s="20">
        <f t="shared" si="106"/>
        <v>-25650000</v>
      </c>
      <c r="AO411" s="20"/>
    </row>
    <row r="412" spans="18:46">
      <c r="R412" s="97" t="s">
        <v>5439</v>
      </c>
      <c r="S412" s="93">
        <v>1024993</v>
      </c>
      <c r="U412" s="19" t="s">
        <v>5652</v>
      </c>
      <c r="V412" s="19">
        <v>7804</v>
      </c>
      <c r="W412" s="115">
        <v>2236.0831640000001</v>
      </c>
      <c r="X412" s="115">
        <f t="shared" si="104"/>
        <v>17450393.011856001</v>
      </c>
      <c r="Y412" s="261" t="s">
        <v>5098</v>
      </c>
      <c r="AI412" s="20">
        <v>121</v>
      </c>
      <c r="AJ412" s="20" t="s">
        <v>5182</v>
      </c>
      <c r="AK412" s="115">
        <v>-3020625</v>
      </c>
      <c r="AL412" s="20">
        <v>18</v>
      </c>
      <c r="AM412" s="20">
        <f t="shared" si="105"/>
        <v>485</v>
      </c>
      <c r="AN412" s="20">
        <f t="shared" si="106"/>
        <v>-1465003125</v>
      </c>
      <c r="AO412" s="20"/>
    </row>
    <row r="413" spans="18:46">
      <c r="R413" s="97" t="s">
        <v>5440</v>
      </c>
      <c r="S413" s="93">
        <v>1948077</v>
      </c>
      <c r="U413" s="19" t="s">
        <v>5653</v>
      </c>
      <c r="V413" s="19">
        <v>14589</v>
      </c>
      <c r="W413" s="115">
        <v>2151.5486500000002</v>
      </c>
      <c r="X413" s="115">
        <f t="shared" si="104"/>
        <v>31388943.254850004</v>
      </c>
      <c r="Y413" s="261" t="s">
        <v>5098</v>
      </c>
      <c r="AI413" s="20">
        <v>122</v>
      </c>
      <c r="AJ413" s="20" t="s">
        <v>5193</v>
      </c>
      <c r="AK413" s="115">
        <v>18000000</v>
      </c>
      <c r="AL413" s="20">
        <v>19</v>
      </c>
      <c r="AM413" s="20">
        <f t="shared" si="105"/>
        <v>467</v>
      </c>
      <c r="AN413" s="20">
        <f t="shared" si="106"/>
        <v>8406000000</v>
      </c>
      <c r="AO413" s="20"/>
      <c r="AS413" t="s">
        <v>25</v>
      </c>
    </row>
    <row r="414" spans="18:46">
      <c r="R414" s="97" t="s">
        <v>5441</v>
      </c>
      <c r="S414" s="93">
        <v>50000120</v>
      </c>
      <c r="U414" s="19" t="s">
        <v>5654</v>
      </c>
      <c r="V414" s="19">
        <v>14741</v>
      </c>
      <c r="W414" s="115">
        <v>2097.0148140000001</v>
      </c>
      <c r="X414" s="115">
        <f t="shared" si="104"/>
        <v>30912095.373174001</v>
      </c>
      <c r="Y414" s="261" t="s">
        <v>5098</v>
      </c>
      <c r="Z414" t="s">
        <v>25</v>
      </c>
      <c r="AI414" s="20">
        <v>123</v>
      </c>
      <c r="AJ414" s="20" t="s">
        <v>5220</v>
      </c>
      <c r="AK414" s="115">
        <v>2000000</v>
      </c>
      <c r="AL414" s="20">
        <v>6</v>
      </c>
      <c r="AM414" s="20">
        <f t="shared" si="105"/>
        <v>448</v>
      </c>
      <c r="AN414" s="20">
        <f t="shared" si="106"/>
        <v>896000000</v>
      </c>
      <c r="AO414" s="20"/>
    </row>
    <row r="415" spans="18:46">
      <c r="R415" s="97" t="s">
        <v>5464</v>
      </c>
      <c r="S415" s="93">
        <v>20000055</v>
      </c>
      <c r="U415" s="19" t="s">
        <v>5656</v>
      </c>
      <c r="V415" s="19">
        <v>10237</v>
      </c>
      <c r="W415" s="115">
        <v>1914.9092619999999</v>
      </c>
      <c r="X415" s="115">
        <f t="shared" si="104"/>
        <v>19602926.115093999</v>
      </c>
      <c r="Y415" s="261" t="s">
        <v>5098</v>
      </c>
      <c r="AA415" t="s">
        <v>25</v>
      </c>
      <c r="AI415" s="147">
        <v>124</v>
      </c>
      <c r="AJ415" s="147" t="s">
        <v>5229</v>
      </c>
      <c r="AK415" s="186">
        <v>40000000</v>
      </c>
      <c r="AL415" s="147">
        <v>6</v>
      </c>
      <c r="AM415" s="147">
        <f t="shared" si="105"/>
        <v>442</v>
      </c>
      <c r="AN415" s="147">
        <f t="shared" si="106"/>
        <v>17680000000</v>
      </c>
      <c r="AO415" s="147"/>
      <c r="AT415" t="s">
        <v>25</v>
      </c>
    </row>
    <row r="416" spans="18:46">
      <c r="R416" s="97" t="s">
        <v>5465</v>
      </c>
      <c r="S416" s="93">
        <v>5745697</v>
      </c>
      <c r="U416" s="19" t="s">
        <v>5660</v>
      </c>
      <c r="V416" s="19">
        <v>19211</v>
      </c>
      <c r="W416" s="115">
        <v>1793.6906100000001</v>
      </c>
      <c r="X416" s="115">
        <f t="shared" si="104"/>
        <v>34458590.308710001</v>
      </c>
      <c r="Y416" s="261" t="s">
        <v>5098</v>
      </c>
      <c r="AA416" t="s">
        <v>25</v>
      </c>
      <c r="AI416" s="20">
        <v>125</v>
      </c>
      <c r="AJ416" s="20" t="s">
        <v>5238</v>
      </c>
      <c r="AK416" s="115">
        <v>200000</v>
      </c>
      <c r="AL416" s="20">
        <v>0</v>
      </c>
      <c r="AM416" s="20">
        <f t="shared" si="105"/>
        <v>436</v>
      </c>
      <c r="AN416" s="20">
        <f t="shared" si="106"/>
        <v>87200000</v>
      </c>
      <c r="AO416" s="20"/>
    </row>
    <row r="417" spans="18:46">
      <c r="R417" s="97" t="s">
        <v>5466</v>
      </c>
      <c r="S417" s="93">
        <v>908158</v>
      </c>
      <c r="U417" s="19" t="s">
        <v>5662</v>
      </c>
      <c r="V417" s="19">
        <v>11599</v>
      </c>
      <c r="W417" s="115">
        <v>1870.667144</v>
      </c>
      <c r="X417" s="115">
        <f t="shared" si="104"/>
        <v>21697868.203256</v>
      </c>
      <c r="Y417" s="261" t="s">
        <v>5098</v>
      </c>
      <c r="Z417" t="s">
        <v>25</v>
      </c>
      <c r="AI417" s="147">
        <v>126</v>
      </c>
      <c r="AJ417" s="147" t="s">
        <v>5238</v>
      </c>
      <c r="AK417" s="186">
        <v>200000</v>
      </c>
      <c r="AL417" s="147">
        <v>1</v>
      </c>
      <c r="AM417" s="147">
        <f t="shared" si="105"/>
        <v>436</v>
      </c>
      <c r="AN417" s="147">
        <f t="shared" si="106"/>
        <v>87200000</v>
      </c>
      <c r="AO417" s="147"/>
      <c r="AS417" t="s">
        <v>25</v>
      </c>
      <c r="AT417" t="s">
        <v>25</v>
      </c>
    </row>
    <row r="418" spans="18:46">
      <c r="R418" s="97" t="s">
        <v>5467</v>
      </c>
      <c r="S418" s="93">
        <v>12642697</v>
      </c>
      <c r="T418" t="s">
        <v>25</v>
      </c>
      <c r="U418" s="19" t="s">
        <v>5664</v>
      </c>
      <c r="V418" s="19">
        <v>14098</v>
      </c>
      <c r="W418" s="115">
        <v>1797.423695</v>
      </c>
      <c r="X418" s="115">
        <f t="shared" si="104"/>
        <v>25340079.252110001</v>
      </c>
      <c r="Y418" s="261" t="s">
        <v>5098</v>
      </c>
      <c r="AI418" s="20">
        <v>127</v>
      </c>
      <c r="AJ418" s="20" t="s">
        <v>5241</v>
      </c>
      <c r="AK418" s="115">
        <v>50000</v>
      </c>
      <c r="AL418" s="20">
        <v>4</v>
      </c>
      <c r="AM418" s="20">
        <f t="shared" si="105"/>
        <v>435</v>
      </c>
      <c r="AN418" s="20">
        <f t="shared" si="106"/>
        <v>21750000</v>
      </c>
      <c r="AO418" s="20"/>
    </row>
    <row r="419" spans="18:46">
      <c r="R419" s="97" t="s">
        <v>5468</v>
      </c>
      <c r="S419" s="93">
        <v>12297317.81435</v>
      </c>
      <c r="U419" s="19" t="s">
        <v>5665</v>
      </c>
      <c r="V419" s="19">
        <v>8497</v>
      </c>
      <c r="W419" s="115">
        <v>1739.5531579999999</v>
      </c>
      <c r="X419" s="115">
        <f t="shared" si="104"/>
        <v>14780983.183526</v>
      </c>
      <c r="Y419" s="261" t="s">
        <v>5098</v>
      </c>
      <c r="AI419" s="20">
        <v>128</v>
      </c>
      <c r="AJ419" s="20" t="s">
        <v>5243</v>
      </c>
      <c r="AK419" s="115">
        <v>100000</v>
      </c>
      <c r="AL419" s="20">
        <v>9</v>
      </c>
      <c r="AM419" s="20">
        <f t="shared" ref="AM419:AM429" si="107">AL419+AM420</f>
        <v>431</v>
      </c>
      <c r="AN419" s="20">
        <f t="shared" ref="AN419:AN429" si="108">AK419*AM419</f>
        <v>43100000</v>
      </c>
      <c r="AO419" s="20"/>
    </row>
    <row r="420" spans="18:46" ht="30">
      <c r="R420" s="97" t="s">
        <v>5469</v>
      </c>
      <c r="S420" s="93">
        <v>8959643.8508579992</v>
      </c>
      <c r="U420" s="279" t="s">
        <v>5668</v>
      </c>
      <c r="V420" s="279">
        <v>163820</v>
      </c>
      <c r="W420" s="88">
        <v>1588.685326</v>
      </c>
      <c r="X420" s="88">
        <f t="shared" si="104"/>
        <v>260258430.10532001</v>
      </c>
      <c r="Y420" s="289" t="s">
        <v>5670</v>
      </c>
      <c r="AI420" s="20">
        <v>129</v>
      </c>
      <c r="AJ420" s="20" t="s">
        <v>5259</v>
      </c>
      <c r="AK420" s="115">
        <v>-550000</v>
      </c>
      <c r="AL420" s="20">
        <v>5</v>
      </c>
      <c r="AM420" s="20">
        <f t="shared" si="107"/>
        <v>422</v>
      </c>
      <c r="AN420" s="20">
        <f t="shared" si="108"/>
        <v>-232100000</v>
      </c>
      <c r="AO420" s="20"/>
      <c r="AS420" t="s">
        <v>25</v>
      </c>
    </row>
    <row r="421" spans="18:46">
      <c r="R421" s="97" t="s">
        <v>5484</v>
      </c>
      <c r="S421" s="93">
        <v>15154095.839328</v>
      </c>
      <c r="U421" s="19" t="s">
        <v>5668</v>
      </c>
      <c r="V421" s="19">
        <v>11207</v>
      </c>
      <c r="W421" s="115">
        <v>1588.685326</v>
      </c>
      <c r="X421" s="115">
        <f t="shared" si="104"/>
        <v>17804396.448481999</v>
      </c>
      <c r="Y421" s="261" t="s">
        <v>5098</v>
      </c>
      <c r="Z421" t="s">
        <v>25</v>
      </c>
      <c r="AA421" t="s">
        <v>25</v>
      </c>
      <c r="AI421" s="20">
        <v>130</v>
      </c>
      <c r="AJ421" s="20" t="s">
        <v>5264</v>
      </c>
      <c r="AK421" s="115">
        <v>-29686490</v>
      </c>
      <c r="AL421" s="20">
        <v>1</v>
      </c>
      <c r="AM421" s="20">
        <f t="shared" si="107"/>
        <v>417</v>
      </c>
      <c r="AN421" s="20">
        <f t="shared" si="108"/>
        <v>-12379266330</v>
      </c>
      <c r="AO421" s="20"/>
    </row>
    <row r="422" spans="18:46">
      <c r="R422" s="97" t="s">
        <v>5485</v>
      </c>
      <c r="S422" s="93">
        <v>50725508.571864001</v>
      </c>
      <c r="T422" t="s">
        <v>25</v>
      </c>
      <c r="U422" s="19" t="s">
        <v>5671</v>
      </c>
      <c r="V422" s="19">
        <v>7198</v>
      </c>
      <c r="W422" s="115">
        <v>1602.9918909999999</v>
      </c>
      <c r="X422" s="115">
        <f t="shared" si="104"/>
        <v>11538335.631417999</v>
      </c>
      <c r="Y422" s="261" t="s">
        <v>5098</v>
      </c>
      <c r="Z422" t="s">
        <v>25</v>
      </c>
      <c r="AI422" s="20">
        <v>131</v>
      </c>
      <c r="AJ422" s="20" t="s">
        <v>5272</v>
      </c>
      <c r="AK422" s="115">
        <v>-9000000</v>
      </c>
      <c r="AL422" s="20">
        <v>8</v>
      </c>
      <c r="AM422" s="20">
        <f t="shared" si="107"/>
        <v>416</v>
      </c>
      <c r="AN422" s="20">
        <f t="shared" si="108"/>
        <v>-3744000000</v>
      </c>
      <c r="AO422" s="20"/>
    </row>
    <row r="423" spans="18:46">
      <c r="R423" s="97" t="s">
        <v>5492</v>
      </c>
      <c r="S423" s="93">
        <v>2281961.458596</v>
      </c>
      <c r="U423" s="19" t="s">
        <v>5672</v>
      </c>
      <c r="V423" s="19">
        <v>7804</v>
      </c>
      <c r="W423" s="115">
        <v>1592.7111440000001</v>
      </c>
      <c r="X423" s="115">
        <f t="shared" si="104"/>
        <v>12429517.767776001</v>
      </c>
      <c r="Y423" s="261" t="s">
        <v>5098</v>
      </c>
      <c r="AA423" t="s">
        <v>25</v>
      </c>
      <c r="AI423" s="20">
        <v>132</v>
      </c>
      <c r="AJ423" s="20" t="s">
        <v>5315</v>
      </c>
      <c r="AK423" s="115">
        <v>810000</v>
      </c>
      <c r="AL423" s="20">
        <v>2</v>
      </c>
      <c r="AM423" s="20">
        <f t="shared" si="107"/>
        <v>408</v>
      </c>
      <c r="AN423" s="20">
        <f t="shared" si="108"/>
        <v>330480000</v>
      </c>
      <c r="AO423" s="20"/>
    </row>
    <row r="424" spans="18:46">
      <c r="R424" s="97" t="s">
        <v>5493</v>
      </c>
      <c r="S424" s="93">
        <v>10998285</v>
      </c>
      <c r="U424" s="19" t="s">
        <v>5680</v>
      </c>
      <c r="V424" s="19">
        <v>2827</v>
      </c>
      <c r="W424" s="115">
        <v>1779.6874809999999</v>
      </c>
      <c r="X424" s="115">
        <f t="shared" si="104"/>
        <v>5031176.5087869996</v>
      </c>
      <c r="Y424" s="261" t="s">
        <v>5098</v>
      </c>
      <c r="Z424" t="s">
        <v>25</v>
      </c>
      <c r="AI424" s="20">
        <v>133</v>
      </c>
      <c r="AJ424" s="20" t="s">
        <v>5320</v>
      </c>
      <c r="AK424" s="115">
        <v>-5000000</v>
      </c>
      <c r="AL424" s="20">
        <v>3</v>
      </c>
      <c r="AM424" s="20">
        <f t="shared" si="107"/>
        <v>406</v>
      </c>
      <c r="AN424" s="20">
        <f t="shared" si="108"/>
        <v>-2030000000</v>
      </c>
      <c r="AO424" s="20"/>
    </row>
    <row r="425" spans="18:46">
      <c r="R425" s="97" t="s">
        <v>5495</v>
      </c>
      <c r="S425" s="93">
        <v>983018.96187300002</v>
      </c>
      <c r="U425" s="19" t="s">
        <v>5682</v>
      </c>
      <c r="V425" s="19">
        <v>3385</v>
      </c>
      <c r="W425" s="115">
        <v>2015.5993820000001</v>
      </c>
      <c r="X425" s="115">
        <f t="shared" si="104"/>
        <v>6822803.9080700008</v>
      </c>
      <c r="Y425" s="261" t="s">
        <v>5098</v>
      </c>
      <c r="Z425" t="s">
        <v>25</v>
      </c>
      <c r="AA425" t="s">
        <v>25</v>
      </c>
      <c r="AI425" s="20">
        <v>134</v>
      </c>
      <c r="AJ425" s="20" t="s">
        <v>5324</v>
      </c>
      <c r="AK425" s="115">
        <v>-26000000</v>
      </c>
      <c r="AL425" s="20">
        <v>0</v>
      </c>
      <c r="AM425" s="20">
        <f t="shared" si="107"/>
        <v>403</v>
      </c>
      <c r="AN425" s="20">
        <f t="shared" si="108"/>
        <v>-10478000000</v>
      </c>
      <c r="AO425" s="20"/>
    </row>
    <row r="426" spans="18:46">
      <c r="R426" s="97" t="s">
        <v>5498</v>
      </c>
      <c r="S426" s="93">
        <v>17049271.032000002</v>
      </c>
      <c r="U426" s="19" t="s">
        <v>5686</v>
      </c>
      <c r="V426" s="19">
        <v>158</v>
      </c>
      <c r="W426" s="115">
        <v>2094.2388179999998</v>
      </c>
      <c r="X426" s="115">
        <f t="shared" si="104"/>
        <v>330889.73324399994</v>
      </c>
      <c r="Y426" s="261" t="s">
        <v>5098</v>
      </c>
      <c r="Z426" t="s">
        <v>25</v>
      </c>
      <c r="AI426" s="240">
        <v>135</v>
      </c>
      <c r="AJ426" s="240" t="s">
        <v>5324</v>
      </c>
      <c r="AK426" s="231">
        <v>-26000000</v>
      </c>
      <c r="AL426" s="240">
        <v>1</v>
      </c>
      <c r="AM426" s="240">
        <f t="shared" si="107"/>
        <v>403</v>
      </c>
      <c r="AN426" s="240">
        <f t="shared" si="108"/>
        <v>-10478000000</v>
      </c>
      <c r="AO426" s="240"/>
    </row>
    <row r="427" spans="18:46">
      <c r="R427" s="97" t="s">
        <v>4209</v>
      </c>
      <c r="S427" s="93">
        <v>6829998</v>
      </c>
      <c r="U427" s="19" t="s">
        <v>963</v>
      </c>
      <c r="V427" s="19">
        <v>5033</v>
      </c>
      <c r="W427" s="115">
        <v>2229.4976999999999</v>
      </c>
      <c r="X427" s="115">
        <f t="shared" si="104"/>
        <v>11221061.924099999</v>
      </c>
      <c r="Y427" s="261" t="s">
        <v>5691</v>
      </c>
      <c r="AA427" t="s">
        <v>25</v>
      </c>
      <c r="AI427" s="20">
        <v>136</v>
      </c>
      <c r="AJ427" s="20" t="s">
        <v>5328</v>
      </c>
      <c r="AK427" s="115">
        <v>-81800000</v>
      </c>
      <c r="AL427" s="20">
        <v>0</v>
      </c>
      <c r="AM427" s="20">
        <f t="shared" si="107"/>
        <v>402</v>
      </c>
      <c r="AN427" s="20">
        <f t="shared" si="108"/>
        <v>-32883600000</v>
      </c>
      <c r="AO427" s="20"/>
    </row>
    <row r="428" spans="18:46">
      <c r="R428" s="97" t="s">
        <v>5518</v>
      </c>
      <c r="S428" s="93">
        <v>6982608.8207999999</v>
      </c>
      <c r="U428" s="19" t="s">
        <v>5695</v>
      </c>
      <c r="V428" s="19">
        <v>2870</v>
      </c>
      <c r="W428" s="115">
        <v>2303.2467459999998</v>
      </c>
      <c r="X428" s="115">
        <f t="shared" si="104"/>
        <v>6610318.1610199995</v>
      </c>
      <c r="Y428" s="261" t="s">
        <v>5098</v>
      </c>
      <c r="AI428" s="240">
        <v>137</v>
      </c>
      <c r="AJ428" s="240" t="s">
        <v>5328</v>
      </c>
      <c r="AK428" s="231">
        <v>-110000000</v>
      </c>
      <c r="AL428" s="240">
        <v>1</v>
      </c>
      <c r="AM428" s="240">
        <f t="shared" si="107"/>
        <v>402</v>
      </c>
      <c r="AN428" s="240">
        <f t="shared" si="108"/>
        <v>-44220000000</v>
      </c>
      <c r="AO428" s="240"/>
    </row>
    <row r="429" spans="18:46">
      <c r="R429" s="97" t="s">
        <v>5524</v>
      </c>
      <c r="S429" s="93">
        <v>7510131.0216000006</v>
      </c>
      <c r="U429" s="19" t="s">
        <v>5696</v>
      </c>
      <c r="V429" s="19">
        <v>307</v>
      </c>
      <c r="W429" s="115">
        <v>2315.0266360000001</v>
      </c>
      <c r="X429" s="115">
        <f t="shared" si="104"/>
        <v>710713.17725199996</v>
      </c>
      <c r="Y429" s="261" t="s">
        <v>5098</v>
      </c>
      <c r="AI429" s="20">
        <v>138</v>
      </c>
      <c r="AJ429" s="20" t="s">
        <v>5329</v>
      </c>
      <c r="AK429" s="115">
        <v>-34000000</v>
      </c>
      <c r="AL429" s="20">
        <v>0</v>
      </c>
      <c r="AM429" s="20">
        <f t="shared" si="107"/>
        <v>401</v>
      </c>
      <c r="AN429" s="20">
        <f t="shared" si="108"/>
        <v>-13634000000</v>
      </c>
      <c r="AO429" s="20"/>
    </row>
    <row r="430" spans="18:46" ht="30">
      <c r="R430" s="97" t="s">
        <v>5533</v>
      </c>
      <c r="S430" s="93">
        <v>7278025.5327000003</v>
      </c>
      <c r="U430" s="19" t="s">
        <v>5698</v>
      </c>
      <c r="V430" s="19">
        <v>35</v>
      </c>
      <c r="W430" s="115">
        <v>2315</v>
      </c>
      <c r="X430" s="115">
        <f t="shared" si="104"/>
        <v>81025</v>
      </c>
      <c r="Y430" s="261" t="s">
        <v>5700</v>
      </c>
      <c r="Z430" s="112"/>
      <c r="AI430" s="147">
        <v>139</v>
      </c>
      <c r="AJ430" s="147" t="s">
        <v>5329</v>
      </c>
      <c r="AK430" s="186">
        <v>-23900000</v>
      </c>
      <c r="AL430" s="147">
        <v>5</v>
      </c>
      <c r="AM430" s="147">
        <f t="shared" ref="AM430:AM435" si="109">AL430+AM431</f>
        <v>401</v>
      </c>
      <c r="AN430" s="147">
        <f t="shared" ref="AN430:AN435" si="110">AK430*AM430</f>
        <v>-9583900000</v>
      </c>
      <c r="AO430" s="147"/>
    </row>
    <row r="431" spans="18:46">
      <c r="R431" s="97" t="s">
        <v>5538</v>
      </c>
      <c r="S431" s="93">
        <v>195059.35799999998</v>
      </c>
      <c r="T431" t="s">
        <v>25</v>
      </c>
      <c r="U431" s="19" t="s">
        <v>5701</v>
      </c>
      <c r="V431" s="19">
        <v>94</v>
      </c>
      <c r="W431" s="115">
        <v>2337.1980119999998</v>
      </c>
      <c r="X431" s="115">
        <f t="shared" si="104"/>
        <v>219696.613128</v>
      </c>
      <c r="Y431" s="261" t="s">
        <v>5098</v>
      </c>
      <c r="Z431" t="s">
        <v>25</v>
      </c>
      <c r="AA431" t="s">
        <v>25</v>
      </c>
      <c r="AI431" s="20">
        <v>140</v>
      </c>
      <c r="AJ431" s="20" t="s">
        <v>5342</v>
      </c>
      <c r="AK431" s="115">
        <v>1000000</v>
      </c>
      <c r="AL431" s="20">
        <v>0</v>
      </c>
      <c r="AM431" s="20">
        <f t="shared" si="109"/>
        <v>396</v>
      </c>
      <c r="AN431" s="20">
        <f t="shared" si="110"/>
        <v>396000000</v>
      </c>
      <c r="AO431" s="20"/>
    </row>
    <row r="432" spans="18:46">
      <c r="R432" s="97" t="s">
        <v>5540</v>
      </c>
      <c r="S432" s="93">
        <v>862577.83200000005</v>
      </c>
      <c r="U432" s="19" t="s">
        <v>5702</v>
      </c>
      <c r="V432" s="19">
        <v>2534</v>
      </c>
      <c r="W432" s="115">
        <v>2381.7965300000001</v>
      </c>
      <c r="X432" s="115">
        <f t="shared" si="104"/>
        <v>6035472.4070199998</v>
      </c>
      <c r="Y432" s="261" t="s">
        <v>5098</v>
      </c>
      <c r="AI432" s="147">
        <v>141</v>
      </c>
      <c r="AJ432" s="147" t="s">
        <v>5342</v>
      </c>
      <c r="AK432" s="186">
        <v>1000000</v>
      </c>
      <c r="AL432" s="147">
        <v>4</v>
      </c>
      <c r="AM432" s="147">
        <f t="shared" si="109"/>
        <v>396</v>
      </c>
      <c r="AN432" s="147">
        <f t="shared" si="110"/>
        <v>396000000</v>
      </c>
      <c r="AO432" s="147"/>
    </row>
    <row r="433" spans="18:46">
      <c r="R433" s="97" t="s">
        <v>5541</v>
      </c>
      <c r="S433" s="93">
        <v>920308.446</v>
      </c>
      <c r="U433" s="19" t="s">
        <v>5703</v>
      </c>
      <c r="V433" s="19">
        <v>424</v>
      </c>
      <c r="W433" s="115">
        <v>2321.9017680000002</v>
      </c>
      <c r="X433" s="115">
        <f t="shared" si="104"/>
        <v>984486.34963200008</v>
      </c>
      <c r="Y433" s="261" t="s">
        <v>5098</v>
      </c>
      <c r="AA433" t="s">
        <v>25</v>
      </c>
      <c r="AI433" s="20">
        <v>142</v>
      </c>
      <c r="AJ433" s="20" t="s">
        <v>5348</v>
      </c>
      <c r="AK433" s="115">
        <v>400000</v>
      </c>
      <c r="AL433" s="20">
        <v>0</v>
      </c>
      <c r="AM433" s="20">
        <f t="shared" si="109"/>
        <v>392</v>
      </c>
      <c r="AN433" s="20">
        <f t="shared" si="110"/>
        <v>156800000</v>
      </c>
      <c r="AO433" s="20"/>
    </row>
    <row r="434" spans="18:46">
      <c r="R434" s="97" t="s">
        <v>5543</v>
      </c>
      <c r="S434" s="93">
        <v>4635809.8416840006</v>
      </c>
      <c r="U434" s="187" t="s">
        <v>5704</v>
      </c>
      <c r="V434" s="187">
        <v>-32</v>
      </c>
      <c r="W434" s="186">
        <v>2221.2123710000001</v>
      </c>
      <c r="X434" s="186">
        <f t="shared" si="104"/>
        <v>-71078.795872000002</v>
      </c>
      <c r="Y434" s="260" t="s">
        <v>5707</v>
      </c>
      <c r="AI434" s="147">
        <v>143</v>
      </c>
      <c r="AJ434" s="147" t="s">
        <v>5348</v>
      </c>
      <c r="AK434" s="186">
        <v>400000</v>
      </c>
      <c r="AL434" s="147">
        <v>35</v>
      </c>
      <c r="AM434" s="147">
        <f t="shared" si="109"/>
        <v>392</v>
      </c>
      <c r="AN434" s="147">
        <f t="shared" si="110"/>
        <v>156800000</v>
      </c>
      <c r="AO434" s="147"/>
    </row>
    <row r="435" spans="18:46">
      <c r="R435" s="97" t="s">
        <v>5571</v>
      </c>
      <c r="S435" s="93">
        <v>288892.40000000002</v>
      </c>
      <c r="U435" s="19" t="s">
        <v>5704</v>
      </c>
      <c r="V435" s="19">
        <v>157</v>
      </c>
      <c r="W435" s="115">
        <v>2221.2123710000001</v>
      </c>
      <c r="X435" s="115">
        <f t="shared" si="104"/>
        <v>348730.34224700002</v>
      </c>
      <c r="Y435" s="261" t="s">
        <v>5708</v>
      </c>
      <c r="AI435" s="20">
        <v>144</v>
      </c>
      <c r="AJ435" s="20" t="s">
        <v>5382</v>
      </c>
      <c r="AK435" s="115">
        <v>3000000</v>
      </c>
      <c r="AL435" s="20">
        <v>0</v>
      </c>
      <c r="AM435" s="20">
        <f t="shared" si="109"/>
        <v>357</v>
      </c>
      <c r="AN435" s="20">
        <f t="shared" si="110"/>
        <v>1071000000</v>
      </c>
      <c r="AO435" s="20"/>
      <c r="AR435" t="s">
        <v>25</v>
      </c>
    </row>
    <row r="436" spans="18:46">
      <c r="R436" s="97" t="s">
        <v>5572</v>
      </c>
      <c r="S436" s="93">
        <v>58508002.009000003</v>
      </c>
      <c r="T436" t="s">
        <v>25</v>
      </c>
      <c r="U436" s="19" t="s">
        <v>5704</v>
      </c>
      <c r="V436" s="19">
        <v>965</v>
      </c>
      <c r="W436" s="115">
        <v>2221.2123710000001</v>
      </c>
      <c r="X436" s="115">
        <f t="shared" si="104"/>
        <v>2143469.938015</v>
      </c>
      <c r="Y436" s="261" t="s">
        <v>5098</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5574</v>
      </c>
      <c r="S437" s="93">
        <v>2245515.5410799999</v>
      </c>
      <c r="U437" s="187" t="s">
        <v>5710</v>
      </c>
      <c r="V437" s="187">
        <v>596</v>
      </c>
      <c r="W437" s="186">
        <v>2180.6765719999999</v>
      </c>
      <c r="X437" s="186">
        <f t="shared" si="104"/>
        <v>1299683.236912</v>
      </c>
      <c r="Y437" s="260" t="s">
        <v>1069</v>
      </c>
      <c r="Z437" t="s">
        <v>25</v>
      </c>
      <c r="AI437" s="147">
        <v>146</v>
      </c>
      <c r="AJ437" s="147" t="s">
        <v>5281</v>
      </c>
      <c r="AK437" s="186">
        <v>-8644090</v>
      </c>
      <c r="AL437" s="147">
        <v>0</v>
      </c>
      <c r="AM437" s="147">
        <f t="shared" si="111"/>
        <v>338</v>
      </c>
      <c r="AN437" s="147">
        <f t="shared" si="112"/>
        <v>-2921702420</v>
      </c>
      <c r="AO437" s="147" t="s">
        <v>4727</v>
      </c>
    </row>
    <row r="438" spans="18:46">
      <c r="R438" s="97" t="s">
        <v>5574</v>
      </c>
      <c r="S438" s="93">
        <v>18404699.3442</v>
      </c>
      <c r="U438" s="19" t="s">
        <v>5714</v>
      </c>
      <c r="V438" s="19">
        <v>1355</v>
      </c>
      <c r="W438" s="115">
        <v>2277.0926330000002</v>
      </c>
      <c r="X438" s="115">
        <f t="shared" si="104"/>
        <v>3085460.5177150001</v>
      </c>
      <c r="Y438" s="261" t="s">
        <v>5098</v>
      </c>
      <c r="AI438" s="20">
        <v>147</v>
      </c>
      <c r="AJ438" s="20" t="s">
        <v>5281</v>
      </c>
      <c r="AK438" s="115">
        <v>-65461942</v>
      </c>
      <c r="AL438" s="20">
        <v>1</v>
      </c>
      <c r="AM438" s="20">
        <f t="shared" si="111"/>
        <v>338</v>
      </c>
      <c r="AN438" s="20">
        <f t="shared" si="112"/>
        <v>-22126136396</v>
      </c>
      <c r="AO438" s="20" t="s">
        <v>4727</v>
      </c>
    </row>
    <row r="439" spans="18:46">
      <c r="R439" s="97" t="s">
        <v>5577</v>
      </c>
      <c r="S439" s="93">
        <v>48684800</v>
      </c>
      <c r="U439" s="19" t="s">
        <v>5715</v>
      </c>
      <c r="V439" s="19">
        <v>3742</v>
      </c>
      <c r="W439" s="115">
        <v>2207.7650429999999</v>
      </c>
      <c r="X439" s="115">
        <f t="shared" si="104"/>
        <v>8261456.790906</v>
      </c>
      <c r="Y439" s="261" t="s">
        <v>5098</v>
      </c>
      <c r="Z439" t="s">
        <v>25</v>
      </c>
      <c r="AI439" s="20">
        <v>148</v>
      </c>
      <c r="AJ439" s="20" t="s">
        <v>5404</v>
      </c>
      <c r="AK439" s="115">
        <v>35000000</v>
      </c>
      <c r="AL439" s="20">
        <v>15</v>
      </c>
      <c r="AM439" s="20">
        <f t="shared" si="111"/>
        <v>337</v>
      </c>
      <c r="AN439" s="20">
        <f t="shared" si="112"/>
        <v>11795000000</v>
      </c>
      <c r="AO439" s="20"/>
      <c r="AT439" t="s">
        <v>25</v>
      </c>
    </row>
    <row r="440" spans="18:46">
      <c r="R440" s="97" t="s">
        <v>5579</v>
      </c>
      <c r="S440" s="93">
        <v>2264658.5922190002</v>
      </c>
      <c r="U440" s="19" t="s">
        <v>5716</v>
      </c>
      <c r="V440" s="19">
        <v>3216</v>
      </c>
      <c r="W440" s="115">
        <v>2043.648557</v>
      </c>
      <c r="X440" s="115">
        <f t="shared" si="104"/>
        <v>6572373.7593120001</v>
      </c>
      <c r="Y440" s="261" t="s">
        <v>5098</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5582</v>
      </c>
      <c r="S441" s="93">
        <v>22877413.789960001</v>
      </c>
      <c r="U441" s="187" t="s">
        <v>5718</v>
      </c>
      <c r="V441" s="187">
        <v>42393</v>
      </c>
      <c r="W441" s="186">
        <v>2124.4852740000001</v>
      </c>
      <c r="X441" s="186">
        <f t="shared" si="104"/>
        <v>90063304.22068201</v>
      </c>
      <c r="Y441" s="260" t="s">
        <v>5719</v>
      </c>
      <c r="Z441" t="s">
        <v>25</v>
      </c>
      <c r="AI441" s="20">
        <v>150</v>
      </c>
      <c r="AJ441" s="20" t="s">
        <v>5423</v>
      </c>
      <c r="AK441" s="115">
        <v>1600000</v>
      </c>
      <c r="AL441" s="20">
        <v>1</v>
      </c>
      <c r="AM441" s="20">
        <f t="shared" si="113"/>
        <v>322</v>
      </c>
      <c r="AN441" s="20">
        <f t="shared" si="114"/>
        <v>515200000</v>
      </c>
      <c r="AO441" s="20"/>
    </row>
    <row r="442" spans="18:46">
      <c r="R442" s="97" t="s">
        <v>5583</v>
      </c>
      <c r="S442" s="93">
        <v>2362539.4373280001</v>
      </c>
      <c r="U442" s="19" t="s">
        <v>5720</v>
      </c>
      <c r="V442" s="19">
        <v>1307</v>
      </c>
      <c r="W442" s="115">
        <v>2213.652313</v>
      </c>
      <c r="X442" s="115">
        <f t="shared" si="104"/>
        <v>2893243.5730909999</v>
      </c>
      <c r="Y442" s="261" t="s">
        <v>5098</v>
      </c>
      <c r="AI442" s="147">
        <v>151</v>
      </c>
      <c r="AJ442" s="147" t="s">
        <v>5426</v>
      </c>
      <c r="AK442" s="186">
        <v>600000</v>
      </c>
      <c r="AL442" s="147">
        <v>0</v>
      </c>
      <c r="AM442" s="147">
        <f t="shared" si="113"/>
        <v>321</v>
      </c>
      <c r="AN442" s="147">
        <f t="shared" si="114"/>
        <v>192600000</v>
      </c>
      <c r="AO442" s="147" t="s">
        <v>5428</v>
      </c>
    </row>
    <row r="443" spans="18:46">
      <c r="R443" s="97" t="s">
        <v>5584</v>
      </c>
      <c r="S443" s="93">
        <v>16042676.656608</v>
      </c>
      <c r="U443" s="19" t="s">
        <v>5721</v>
      </c>
      <c r="V443" s="19">
        <v>44079</v>
      </c>
      <c r="W443" s="115">
        <v>2155.0411519999998</v>
      </c>
      <c r="X443" s="115">
        <f t="shared" si="104"/>
        <v>94992058.939007998</v>
      </c>
      <c r="Y443" s="261" t="s">
        <v>5098</v>
      </c>
      <c r="Z443" t="s">
        <v>25</v>
      </c>
      <c r="AA443" t="s">
        <v>25</v>
      </c>
      <c r="AI443" s="20">
        <v>152</v>
      </c>
      <c r="AJ443" s="20" t="s">
        <v>5426</v>
      </c>
      <c r="AK443" s="115">
        <v>600000</v>
      </c>
      <c r="AL443" s="20">
        <v>9</v>
      </c>
      <c r="AM443" s="20">
        <f>AL443+AM444</f>
        <v>321</v>
      </c>
      <c r="AN443" s="20">
        <f t="shared" si="114"/>
        <v>192600000</v>
      </c>
      <c r="AO443" s="20" t="s">
        <v>5428</v>
      </c>
    </row>
    <row r="444" spans="18:46">
      <c r="R444" s="97" t="s">
        <v>5587</v>
      </c>
      <c r="S444" s="93">
        <v>18403291.448284</v>
      </c>
      <c r="U444" s="19" t="s">
        <v>5726</v>
      </c>
      <c r="V444" s="19">
        <v>131</v>
      </c>
      <c r="W444" s="115">
        <v>2099.4040150000001</v>
      </c>
      <c r="X444" s="115">
        <f t="shared" si="104"/>
        <v>275021.925965</v>
      </c>
      <c r="Y444" s="261" t="s">
        <v>5098</v>
      </c>
      <c r="Z444" t="s">
        <v>25</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5588</v>
      </c>
      <c r="S445" s="93">
        <v>10561447.246918</v>
      </c>
      <c r="U445" s="19" t="s">
        <v>5731</v>
      </c>
      <c r="V445" s="19">
        <v>162</v>
      </c>
      <c r="W445" s="115">
        <v>2021.3081500000001</v>
      </c>
      <c r="X445" s="115">
        <f t="shared" si="104"/>
        <v>327451.9203</v>
      </c>
      <c r="Y445" s="261" t="s">
        <v>5098</v>
      </c>
      <c r="AA445" t="s">
        <v>25</v>
      </c>
      <c r="AI445" s="20">
        <v>154</v>
      </c>
      <c r="AJ445" s="20" t="s">
        <v>5476</v>
      </c>
      <c r="AK445" s="115">
        <v>-46183500</v>
      </c>
      <c r="AL445" s="20">
        <v>0</v>
      </c>
      <c r="AM445" s="20">
        <f t="shared" si="115"/>
        <v>289</v>
      </c>
      <c r="AN445" s="20">
        <f t="shared" si="116"/>
        <v>-13347031500</v>
      </c>
      <c r="AO445" s="20" t="s">
        <v>4849</v>
      </c>
    </row>
    <row r="446" spans="18:46">
      <c r="R446" s="97" t="s">
        <v>5589</v>
      </c>
      <c r="S446" s="93">
        <v>1226811.9176660001</v>
      </c>
      <c r="U446" s="19" t="s">
        <v>5741</v>
      </c>
      <c r="V446" s="19">
        <v>131</v>
      </c>
      <c r="W446" s="115">
        <v>1985.358328</v>
      </c>
      <c r="X446" s="115">
        <f t="shared" si="104"/>
        <v>260081.94096800001</v>
      </c>
      <c r="Y446" s="261" t="s">
        <v>5098</v>
      </c>
      <c r="AA446" t="s">
        <v>25</v>
      </c>
      <c r="AI446" s="147">
        <v>155</v>
      </c>
      <c r="AJ446" s="147" t="s">
        <v>5476</v>
      </c>
      <c r="AK446" s="186">
        <v>-1812800</v>
      </c>
      <c r="AL446" s="147">
        <v>2</v>
      </c>
      <c r="AM446" s="147">
        <f>AL446+AM447</f>
        <v>289</v>
      </c>
      <c r="AN446" s="147">
        <f t="shared" si="116"/>
        <v>-523899200</v>
      </c>
      <c r="AO446" s="147" t="s">
        <v>4849</v>
      </c>
      <c r="AR446" t="s">
        <v>25</v>
      </c>
    </row>
    <row r="447" spans="18:46">
      <c r="R447" s="97" t="s">
        <v>5594</v>
      </c>
      <c r="S447" s="93">
        <v>39373959.190266006</v>
      </c>
      <c r="U447" s="19" t="s">
        <v>5749</v>
      </c>
      <c r="V447" s="19">
        <v>1449</v>
      </c>
      <c r="W447" s="115">
        <v>2007.787806</v>
      </c>
      <c r="X447" s="115">
        <f t="shared" si="104"/>
        <v>2909284.5308940001</v>
      </c>
      <c r="Y447" s="261" t="s">
        <v>5098</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5595</v>
      </c>
      <c r="S448" s="93">
        <v>27703487.063980002</v>
      </c>
      <c r="U448" s="19" t="s">
        <v>5750</v>
      </c>
      <c r="V448" s="19">
        <v>19028</v>
      </c>
      <c r="W448" s="115">
        <v>1982.5102529999999</v>
      </c>
      <c r="X448" s="115">
        <f t="shared" si="104"/>
        <v>37723205.094084002</v>
      </c>
      <c r="Y448" s="261" t="s">
        <v>5098</v>
      </c>
      <c r="Z448" t="s">
        <v>25</v>
      </c>
      <c r="AA448" t="s">
        <v>25</v>
      </c>
      <c r="AI448" s="147">
        <v>157</v>
      </c>
      <c r="AJ448" s="147" t="s">
        <v>5480</v>
      </c>
      <c r="AK448" s="186">
        <v>60000</v>
      </c>
      <c r="AL448" s="147">
        <v>5</v>
      </c>
      <c r="AM448" s="147">
        <f t="shared" si="117"/>
        <v>287</v>
      </c>
      <c r="AN448" s="147">
        <f t="shared" si="118"/>
        <v>17220000</v>
      </c>
      <c r="AO448" s="147"/>
    </row>
    <row r="449" spans="18:45">
      <c r="R449" s="97" t="s">
        <v>4182</v>
      </c>
      <c r="S449" s="93">
        <v>8738896.6890719999</v>
      </c>
      <c r="U449" s="19" t="s">
        <v>5751</v>
      </c>
      <c r="V449" s="19">
        <v>848</v>
      </c>
      <c r="W449" s="115">
        <v>1768.97966</v>
      </c>
      <c r="X449" s="115">
        <f t="shared" si="104"/>
        <v>1500094.75168</v>
      </c>
      <c r="Y449" s="261" t="s">
        <v>5098</v>
      </c>
      <c r="AI449" s="20">
        <v>158</v>
      </c>
      <c r="AJ449" s="20" t="s">
        <v>5485</v>
      </c>
      <c r="AK449" s="115">
        <v>50000000</v>
      </c>
      <c r="AL449" s="20">
        <v>29</v>
      </c>
      <c r="AM449" s="20">
        <f t="shared" si="117"/>
        <v>282</v>
      </c>
      <c r="AN449" s="20">
        <f t="shared" si="118"/>
        <v>14100000000</v>
      </c>
      <c r="AO449" s="20" t="s">
        <v>5487</v>
      </c>
      <c r="AS449" t="s">
        <v>25</v>
      </c>
    </row>
    <row r="450" spans="18:45">
      <c r="R450" s="97" t="s">
        <v>5597</v>
      </c>
      <c r="S450" s="93">
        <v>348201.66738</v>
      </c>
      <c r="U450" s="19" t="s">
        <v>5752</v>
      </c>
      <c r="V450" s="19">
        <v>3824</v>
      </c>
      <c r="W450" s="115">
        <v>1890.8547169999999</v>
      </c>
      <c r="X450" s="115">
        <f t="shared" si="104"/>
        <v>7230628.4378079996</v>
      </c>
      <c r="Y450" s="261" t="s">
        <v>5098</v>
      </c>
      <c r="AI450" s="20">
        <v>159</v>
      </c>
      <c r="AJ450" s="20" t="s">
        <v>5543</v>
      </c>
      <c r="AK450" s="115">
        <v>100000</v>
      </c>
      <c r="AL450" s="20">
        <v>1</v>
      </c>
      <c r="AM450" s="20">
        <f t="shared" si="117"/>
        <v>253</v>
      </c>
      <c r="AN450" s="20">
        <f t="shared" si="118"/>
        <v>25300000</v>
      </c>
      <c r="AO450" s="20"/>
    </row>
    <row r="451" spans="18:45">
      <c r="R451" s="97" t="s">
        <v>5601</v>
      </c>
      <c r="S451" s="93">
        <v>4158090.8935679998</v>
      </c>
      <c r="U451" s="19" t="s">
        <v>5754</v>
      </c>
      <c r="V451" s="19">
        <v>14010</v>
      </c>
      <c r="W451" s="115">
        <v>2124.7244390000001</v>
      </c>
      <c r="X451" s="115">
        <f t="shared" si="104"/>
        <v>29767389.390390001</v>
      </c>
      <c r="Y451" s="261" t="s">
        <v>5098</v>
      </c>
      <c r="AG451" s="94" t="s">
        <v>25</v>
      </c>
      <c r="AI451" s="147">
        <v>160</v>
      </c>
      <c r="AJ451" s="147" t="s">
        <v>5532</v>
      </c>
      <c r="AK451" s="186">
        <v>150000</v>
      </c>
      <c r="AL451" s="147">
        <v>0</v>
      </c>
      <c r="AM451" s="147">
        <f t="shared" si="117"/>
        <v>252</v>
      </c>
      <c r="AN451" s="147">
        <f t="shared" si="118"/>
        <v>37800000</v>
      </c>
      <c r="AO451" s="147"/>
    </row>
    <row r="452" spans="18:45">
      <c r="R452" s="97" t="s">
        <v>5598</v>
      </c>
      <c r="S452" s="93">
        <v>110770524.97879399</v>
      </c>
      <c r="U452" s="19" t="s">
        <v>5755</v>
      </c>
      <c r="V452" s="19">
        <v>73</v>
      </c>
      <c r="W452" s="115">
        <v>2076.1678900000002</v>
      </c>
      <c r="X452" s="115">
        <f t="shared" si="104"/>
        <v>151560.25597</v>
      </c>
      <c r="Y452" s="261" t="s">
        <v>5098</v>
      </c>
      <c r="AB452" t="s">
        <v>25</v>
      </c>
      <c r="AI452" s="20">
        <v>161</v>
      </c>
      <c r="AJ452" s="20" t="s">
        <v>5532</v>
      </c>
      <c r="AK452" s="115">
        <v>-683050</v>
      </c>
      <c r="AL452" s="20">
        <v>7</v>
      </c>
      <c r="AM452" s="20">
        <f t="shared" si="117"/>
        <v>252</v>
      </c>
      <c r="AN452" s="20">
        <f t="shared" si="118"/>
        <v>-172128600</v>
      </c>
      <c r="AO452" s="20" t="s">
        <v>5546</v>
      </c>
    </row>
    <row r="453" spans="18:45">
      <c r="R453" s="97" t="s">
        <v>5601</v>
      </c>
      <c r="S453" s="93">
        <v>17900000</v>
      </c>
      <c r="U453" s="19" t="s">
        <v>5757</v>
      </c>
      <c r="V453" s="19">
        <v>236</v>
      </c>
      <c r="W453" s="115">
        <v>2039.4867830000001</v>
      </c>
      <c r="X453" s="115">
        <f t="shared" si="104"/>
        <v>481318.88078800001</v>
      </c>
      <c r="Y453" s="261" t="s">
        <v>5098</v>
      </c>
      <c r="AI453" s="147">
        <v>162</v>
      </c>
      <c r="AJ453" s="147" t="s">
        <v>5554</v>
      </c>
      <c r="AK453" s="186">
        <v>200000</v>
      </c>
      <c r="AL453" s="147">
        <v>7</v>
      </c>
      <c r="AM453" s="147">
        <f t="shared" si="117"/>
        <v>245</v>
      </c>
      <c r="AN453" s="147">
        <f t="shared" si="118"/>
        <v>49000000</v>
      </c>
      <c r="AO453" s="147"/>
    </row>
    <row r="454" spans="18:45">
      <c r="R454" s="97" t="s">
        <v>5613</v>
      </c>
      <c r="S454" s="93">
        <v>12114824.927374</v>
      </c>
      <c r="U454" s="19" t="s">
        <v>5760</v>
      </c>
      <c r="V454" s="19">
        <v>75</v>
      </c>
      <c r="W454" s="115">
        <v>1950.3675760000001</v>
      </c>
      <c r="X454" s="115">
        <f t="shared" si="104"/>
        <v>146277.56820000001</v>
      </c>
      <c r="Y454" s="261" t="s">
        <v>5098</v>
      </c>
      <c r="AI454" s="147">
        <v>163</v>
      </c>
      <c r="AJ454" s="147" t="s">
        <v>5559</v>
      </c>
      <c r="AK454" s="186">
        <v>150000</v>
      </c>
      <c r="AL454" s="147">
        <v>5</v>
      </c>
      <c r="AM454" s="147">
        <f t="shared" si="117"/>
        <v>238</v>
      </c>
      <c r="AN454" s="147">
        <f t="shared" si="118"/>
        <v>35700000</v>
      </c>
      <c r="AO454" s="147"/>
    </row>
    <row r="455" spans="18:45">
      <c r="R455" s="97" t="s">
        <v>5616</v>
      </c>
      <c r="S455" s="93">
        <v>6684147.0064600008</v>
      </c>
      <c r="U455" s="19" t="s">
        <v>5772</v>
      </c>
      <c r="V455" s="19">
        <v>232</v>
      </c>
      <c r="W455" s="115">
        <v>1830.5750069999999</v>
      </c>
      <c r="X455" s="115">
        <f t="shared" si="104"/>
        <v>424693.40162399999</v>
      </c>
      <c r="Y455" s="261" t="s">
        <v>5098</v>
      </c>
      <c r="Z455" t="s">
        <v>25</v>
      </c>
      <c r="AI455" s="20">
        <v>164</v>
      </c>
      <c r="AJ455" s="20" t="s">
        <v>5562</v>
      </c>
      <c r="AK455" s="115">
        <v>320000</v>
      </c>
      <c r="AL455" s="20">
        <v>2</v>
      </c>
      <c r="AM455" s="20">
        <f t="shared" si="117"/>
        <v>233</v>
      </c>
      <c r="AN455" s="20">
        <f t="shared" si="118"/>
        <v>74560000</v>
      </c>
      <c r="AO455" s="20"/>
    </row>
    <row r="456" spans="18:45">
      <c r="R456" s="97" t="s">
        <v>5620</v>
      </c>
      <c r="S456" s="93">
        <v>1826535.2307560001</v>
      </c>
      <c r="U456" s="19" t="s">
        <v>5775</v>
      </c>
      <c r="V456" s="19">
        <v>308</v>
      </c>
      <c r="W456" s="115">
        <v>1812.728578</v>
      </c>
      <c r="X456" s="115">
        <f t="shared" si="104"/>
        <v>558320.40202399995</v>
      </c>
      <c r="Y456" s="261" t="s">
        <v>5098</v>
      </c>
      <c r="Z456" t="s">
        <v>25</v>
      </c>
      <c r="AI456" s="20">
        <v>165</v>
      </c>
      <c r="AJ456" s="20" t="s">
        <v>5563</v>
      </c>
      <c r="AK456" s="115">
        <v>200000</v>
      </c>
      <c r="AL456" s="20">
        <v>29</v>
      </c>
      <c r="AM456" s="20">
        <f t="shared" si="117"/>
        <v>231</v>
      </c>
      <c r="AN456" s="20">
        <f t="shared" si="118"/>
        <v>46200000</v>
      </c>
      <c r="AO456" s="20"/>
    </row>
    <row r="457" spans="18:45">
      <c r="R457" s="97" t="s">
        <v>5622</v>
      </c>
      <c r="S457" s="93">
        <v>3577366.94</v>
      </c>
      <c r="U457" s="19" t="s">
        <v>5777</v>
      </c>
      <c r="V457" s="19">
        <v>106</v>
      </c>
      <c r="W457" s="115">
        <v>1958.8888869</v>
      </c>
      <c r="X457" s="115">
        <f t="shared" si="104"/>
        <v>207642.22201140001</v>
      </c>
      <c r="Y457" s="261" t="s">
        <v>5098</v>
      </c>
      <c r="AI457" s="20">
        <v>166</v>
      </c>
      <c r="AJ457" s="20" t="s">
        <v>5598</v>
      </c>
      <c r="AK457" s="115">
        <v>4200000</v>
      </c>
      <c r="AL457" s="20">
        <v>0</v>
      </c>
      <c r="AM457" s="20">
        <f t="shared" si="117"/>
        <v>202</v>
      </c>
      <c r="AN457" s="20">
        <f t="shared" si="118"/>
        <v>848400000</v>
      </c>
      <c r="AO457" s="20"/>
    </row>
    <row r="458" spans="18:45">
      <c r="R458" s="97" t="s">
        <v>5625</v>
      </c>
      <c r="S458" s="93">
        <v>21239029.173567999</v>
      </c>
      <c r="U458" s="19" t="s">
        <v>5799</v>
      </c>
      <c r="V458" s="19">
        <v>17050</v>
      </c>
      <c r="W458" s="115">
        <v>1984.311475</v>
      </c>
      <c r="X458" s="115">
        <f t="shared" si="104"/>
        <v>33832510.64875</v>
      </c>
      <c r="Y458" s="261" t="s">
        <v>5801</v>
      </c>
      <c r="Z458" t="s">
        <v>25</v>
      </c>
      <c r="AB458" t="s">
        <v>25</v>
      </c>
      <c r="AI458" s="147">
        <v>167</v>
      </c>
      <c r="AJ458" s="147" t="s">
        <v>5598</v>
      </c>
      <c r="AK458" s="186">
        <v>3300000</v>
      </c>
      <c r="AL458" s="147">
        <v>11</v>
      </c>
      <c r="AM458" s="147">
        <f t="shared" si="117"/>
        <v>202</v>
      </c>
      <c r="AN458" s="147">
        <f t="shared" si="118"/>
        <v>666600000</v>
      </c>
      <c r="AO458" s="147"/>
    </row>
    <row r="459" spans="18:45">
      <c r="R459" s="97" t="s">
        <v>5630</v>
      </c>
      <c r="S459" s="93">
        <v>242957252.40163299</v>
      </c>
      <c r="U459" s="19" t="s">
        <v>5799</v>
      </c>
      <c r="V459" s="19">
        <v>17050</v>
      </c>
      <c r="W459" s="115">
        <v>1984.311475</v>
      </c>
      <c r="X459" s="115">
        <f t="shared" si="104"/>
        <v>33832510.64875</v>
      </c>
      <c r="Y459" s="261" t="s">
        <v>5802</v>
      </c>
      <c r="Z459" t="s">
        <v>25</v>
      </c>
      <c r="AI459" s="147">
        <v>168</v>
      </c>
      <c r="AJ459" s="147" t="s">
        <v>5622</v>
      </c>
      <c r="AK459" s="186">
        <v>-1500000</v>
      </c>
      <c r="AL459" s="147">
        <v>42</v>
      </c>
      <c r="AM459" s="147">
        <f t="shared" si="117"/>
        <v>191</v>
      </c>
      <c r="AN459" s="147">
        <f t="shared" si="118"/>
        <v>-286500000</v>
      </c>
      <c r="AO459" s="147"/>
    </row>
    <row r="460" spans="18:45">
      <c r="R460" s="97" t="s">
        <v>5631</v>
      </c>
      <c r="S460" s="93">
        <v>7357181.2750800001</v>
      </c>
      <c r="U460" s="19" t="s">
        <v>5804</v>
      </c>
      <c r="V460" s="19">
        <v>9659</v>
      </c>
      <c r="W460" s="115">
        <v>2073.8685089999999</v>
      </c>
      <c r="X460" s="115">
        <f t="shared" si="104"/>
        <v>20031495.928431001</v>
      </c>
      <c r="Y460" s="261" t="s">
        <v>5805</v>
      </c>
      <c r="Z460" t="s">
        <v>25</v>
      </c>
      <c r="AI460" s="20">
        <v>169</v>
      </c>
      <c r="AJ460" s="20" t="s">
        <v>5668</v>
      </c>
      <c r="AK460" s="115">
        <v>260000</v>
      </c>
      <c r="AL460" s="20">
        <v>22</v>
      </c>
      <c r="AM460" s="20">
        <f t="shared" si="117"/>
        <v>149</v>
      </c>
      <c r="AN460" s="20">
        <f t="shared" si="118"/>
        <v>38740000</v>
      </c>
      <c r="AO460" s="20"/>
    </row>
    <row r="461" spans="18:45">
      <c r="R461" s="97" t="s">
        <v>5635</v>
      </c>
      <c r="S461" s="93">
        <v>14951411.942400001</v>
      </c>
      <c r="U461" s="19" t="s">
        <v>5808</v>
      </c>
      <c r="V461" s="19">
        <v>323</v>
      </c>
      <c r="W461" s="115">
        <v>1975.162028</v>
      </c>
      <c r="X461" s="115">
        <f t="shared" si="104"/>
        <v>637977.33504399995</v>
      </c>
      <c r="Y461" s="261" t="s">
        <v>5098</v>
      </c>
      <c r="AI461" s="20">
        <v>170</v>
      </c>
      <c r="AJ461" s="20" t="s">
        <v>5696</v>
      </c>
      <c r="AK461" s="115">
        <v>20000</v>
      </c>
      <c r="AL461" s="20">
        <v>0</v>
      </c>
      <c r="AM461" s="20">
        <f t="shared" si="117"/>
        <v>127</v>
      </c>
      <c r="AN461" s="20">
        <f t="shared" si="118"/>
        <v>2540000</v>
      </c>
      <c r="AO461" s="20"/>
    </row>
    <row r="462" spans="18:45">
      <c r="R462" s="97" t="s">
        <v>5637</v>
      </c>
      <c r="S462" s="93">
        <v>47928209.377011999</v>
      </c>
      <c r="U462" s="19" t="s">
        <v>5809</v>
      </c>
      <c r="V462" s="19">
        <v>238</v>
      </c>
      <c r="W462" s="115">
        <v>1960.303598</v>
      </c>
      <c r="X462" s="115">
        <f t="shared" si="104"/>
        <v>466552.25632400002</v>
      </c>
      <c r="Y462" s="261" t="s">
        <v>5098</v>
      </c>
      <c r="AA462" t="s">
        <v>25</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5639</v>
      </c>
      <c r="S463" s="93">
        <v>2281595.69937</v>
      </c>
      <c r="U463" s="19" t="s">
        <v>5810</v>
      </c>
      <c r="V463" s="19">
        <v>75</v>
      </c>
      <c r="W463" s="115">
        <v>1990.893174</v>
      </c>
      <c r="X463" s="115">
        <f t="shared" si="104"/>
        <v>149316.98805000001</v>
      </c>
      <c r="Y463" s="261" t="s">
        <v>5811</v>
      </c>
      <c r="AA463" t="s">
        <v>25</v>
      </c>
      <c r="AI463" s="147">
        <v>172</v>
      </c>
      <c r="AJ463" s="147" t="s">
        <v>5704</v>
      </c>
      <c r="AK463" s="186">
        <v>70000</v>
      </c>
      <c r="AL463" s="147">
        <v>0</v>
      </c>
      <c r="AM463" s="147">
        <f t="shared" si="119"/>
        <v>120</v>
      </c>
      <c r="AN463" s="147">
        <f t="shared" si="120"/>
        <v>8400000</v>
      </c>
      <c r="AO463" s="147"/>
    </row>
    <row r="464" spans="18:45">
      <c r="R464" s="97" t="s">
        <v>5640</v>
      </c>
      <c r="S464" s="93">
        <v>2964916.035069</v>
      </c>
      <c r="U464" s="19" t="s">
        <v>5810</v>
      </c>
      <c r="V464" s="19">
        <v>95</v>
      </c>
      <c r="W464" s="115">
        <v>1990.893174</v>
      </c>
      <c r="X464" s="115">
        <f t="shared" si="104"/>
        <v>189134.85153000001</v>
      </c>
      <c r="Y464" s="261" t="s">
        <v>5098</v>
      </c>
      <c r="AA464" t="s">
        <v>25</v>
      </c>
      <c r="AI464" s="20">
        <v>173</v>
      </c>
      <c r="AJ464" s="20" t="s">
        <v>5704</v>
      </c>
      <c r="AK464" s="115">
        <v>70000</v>
      </c>
      <c r="AL464" s="20">
        <v>1</v>
      </c>
      <c r="AM464" s="20">
        <f t="shared" si="119"/>
        <v>120</v>
      </c>
      <c r="AN464" s="20">
        <f t="shared" si="120"/>
        <v>8400000</v>
      </c>
      <c r="AO464" s="20"/>
      <c r="AS464" t="s">
        <v>25</v>
      </c>
    </row>
    <row r="465" spans="18:46">
      <c r="R465" s="97" t="s">
        <v>5642</v>
      </c>
      <c r="S465" s="93">
        <v>6460549.4269619994</v>
      </c>
      <c r="U465" s="19" t="s">
        <v>5812</v>
      </c>
      <c r="V465" s="19">
        <v>284</v>
      </c>
      <c r="W465" s="115">
        <v>1989.045169</v>
      </c>
      <c r="X465" s="115">
        <f t="shared" si="104"/>
        <v>564888.82799599995</v>
      </c>
      <c r="Y465" s="261" t="s">
        <v>5098</v>
      </c>
      <c r="AA465" t="s">
        <v>25</v>
      </c>
      <c r="AI465" s="20">
        <v>174</v>
      </c>
      <c r="AJ465" s="20" t="s">
        <v>5710</v>
      </c>
      <c r="AK465" s="115">
        <v>330000</v>
      </c>
      <c r="AL465" s="20">
        <v>0</v>
      </c>
      <c r="AM465" s="20">
        <f t="shared" si="119"/>
        <v>119</v>
      </c>
      <c r="AN465" s="20">
        <f t="shared" si="120"/>
        <v>39270000</v>
      </c>
      <c r="AO465" s="20"/>
      <c r="AS465" t="s">
        <v>25</v>
      </c>
    </row>
    <row r="466" spans="18:46" ht="30">
      <c r="R466" s="97" t="s">
        <v>5645</v>
      </c>
      <c r="S466" s="93">
        <v>5212319.8968359996</v>
      </c>
      <c r="U466" s="187" t="s">
        <v>5815</v>
      </c>
      <c r="V466" s="187">
        <v>11034</v>
      </c>
      <c r="W466" s="186">
        <v>1960.6845390000001</v>
      </c>
      <c r="X466" s="186">
        <f t="shared" si="104"/>
        <v>21634193.203326002</v>
      </c>
      <c r="Y466" s="260" t="s">
        <v>5819</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ht="30">
      <c r="R467" s="97" t="s">
        <v>5647</v>
      </c>
      <c r="S467" s="93">
        <v>4524496.4792809999</v>
      </c>
      <c r="U467" s="19" t="s">
        <v>5815</v>
      </c>
      <c r="V467" s="19">
        <v>4469</v>
      </c>
      <c r="W467" s="115">
        <v>1960.6845390000001</v>
      </c>
      <c r="X467" s="115">
        <f t="shared" si="104"/>
        <v>8762299.2047910001</v>
      </c>
      <c r="Y467" s="261" t="s">
        <v>5820</v>
      </c>
      <c r="AA467" t="s">
        <v>25</v>
      </c>
      <c r="AI467" s="147">
        <v>176</v>
      </c>
      <c r="AJ467" s="147" t="s">
        <v>5718</v>
      </c>
      <c r="AK467" s="186">
        <v>90000000</v>
      </c>
      <c r="AL467" s="147">
        <v>16</v>
      </c>
      <c r="AM467" s="147">
        <f t="shared" si="121"/>
        <v>109</v>
      </c>
      <c r="AN467" s="147">
        <f t="shared" si="122"/>
        <v>9810000000</v>
      </c>
      <c r="AO467" s="147"/>
      <c r="AT467" t="s">
        <v>25</v>
      </c>
    </row>
    <row r="468" spans="18:46">
      <c r="R468" s="97" t="s">
        <v>5649</v>
      </c>
      <c r="S468" s="93">
        <v>22866040.240959998</v>
      </c>
      <c r="U468" s="19" t="s">
        <v>5815</v>
      </c>
      <c r="V468" s="19">
        <v>-174834</v>
      </c>
      <c r="W468" s="115">
        <v>1955.271154</v>
      </c>
      <c r="X468" s="115">
        <f t="shared" si="104"/>
        <v>-341847876.93843603</v>
      </c>
      <c r="Y468" s="261" t="s">
        <v>5821</v>
      </c>
      <c r="AI468" s="147">
        <v>177</v>
      </c>
      <c r="AJ468" s="147" t="s">
        <v>5739</v>
      </c>
      <c r="AK468" s="186">
        <v>-15000000</v>
      </c>
      <c r="AL468" s="147">
        <v>65</v>
      </c>
      <c r="AM468" s="147">
        <f t="shared" si="121"/>
        <v>93</v>
      </c>
      <c r="AN468" s="147">
        <f t="shared" si="122"/>
        <v>-1395000000</v>
      </c>
      <c r="AO468" s="147" t="s">
        <v>5740</v>
      </c>
    </row>
    <row r="469" spans="18:46">
      <c r="R469" s="97" t="s">
        <v>5651</v>
      </c>
      <c r="S469" s="93">
        <v>15359304.269892</v>
      </c>
      <c r="U469" s="19" t="s">
        <v>5815</v>
      </c>
      <c r="V469" s="19">
        <v>-78942</v>
      </c>
      <c r="W469" s="115">
        <v>1955.271154</v>
      </c>
      <c r="X469" s="115">
        <f t="shared" si="104"/>
        <v>-154353015.43906799</v>
      </c>
      <c r="Y469" s="261" t="s">
        <v>5822</v>
      </c>
      <c r="AA469" t="s">
        <v>25</v>
      </c>
      <c r="AI469" s="147">
        <v>178</v>
      </c>
      <c r="AJ469" s="147" t="s">
        <v>5799</v>
      </c>
      <c r="AK469" s="186">
        <v>33833075</v>
      </c>
      <c r="AL469" s="147">
        <v>0</v>
      </c>
      <c r="AM469" s="147">
        <f t="shared" si="121"/>
        <v>28</v>
      </c>
      <c r="AN469" s="147">
        <f t="shared" si="122"/>
        <v>947326100</v>
      </c>
      <c r="AO469" s="147" t="s">
        <v>5803</v>
      </c>
    </row>
    <row r="470" spans="18:46">
      <c r="R470" s="97" t="s">
        <v>5652</v>
      </c>
      <c r="S470" s="93">
        <v>2868508.1846330003</v>
      </c>
      <c r="U470" s="187" t="s">
        <v>5815</v>
      </c>
      <c r="V470" s="187">
        <v>-11518</v>
      </c>
      <c r="W470" s="186">
        <v>1955.271154</v>
      </c>
      <c r="X470" s="186">
        <f t="shared" si="104"/>
        <v>-22520813.151772</v>
      </c>
      <c r="Y470" s="260" t="s">
        <v>5823</v>
      </c>
      <c r="AB470" t="s">
        <v>25</v>
      </c>
      <c r="AI470" s="20">
        <v>197</v>
      </c>
      <c r="AJ470" s="20" t="s">
        <v>5799</v>
      </c>
      <c r="AK470" s="115">
        <v>20033075</v>
      </c>
      <c r="AL470" s="20">
        <v>28</v>
      </c>
      <c r="AM470" s="20">
        <f t="shared" si="121"/>
        <v>28</v>
      </c>
      <c r="AN470" s="20">
        <f t="shared" si="122"/>
        <v>560926100</v>
      </c>
      <c r="AO470" s="20" t="s">
        <v>5803</v>
      </c>
    </row>
    <row r="471" spans="18:46">
      <c r="R471" s="97" t="s">
        <v>5653</v>
      </c>
      <c r="S471" s="93">
        <v>17450393.011856001</v>
      </c>
      <c r="U471" s="19" t="s">
        <v>5834</v>
      </c>
      <c r="V471" s="19">
        <v>8622</v>
      </c>
      <c r="W471" s="115">
        <v>1930.4022150000001</v>
      </c>
      <c r="X471" s="115">
        <f t="shared" si="104"/>
        <v>16643927.89773</v>
      </c>
      <c r="Y471" s="261" t="s">
        <v>743</v>
      </c>
      <c r="AA471" t="s">
        <v>25</v>
      </c>
      <c r="AI471" s="147">
        <v>198</v>
      </c>
      <c r="AJ471" s="147" t="s">
        <v>5815</v>
      </c>
      <c r="AK471" s="186">
        <v>-22520813.151772</v>
      </c>
      <c r="AL471" s="147">
        <v>0</v>
      </c>
      <c r="AM471" s="147">
        <f>AL471+AM487</f>
        <v>0</v>
      </c>
      <c r="AN471" s="147">
        <f t="shared" si="122"/>
        <v>0</v>
      </c>
      <c r="AO471" s="147" t="s">
        <v>5823</v>
      </c>
    </row>
    <row r="472" spans="18:46">
      <c r="R472" s="97" t="s">
        <v>5654</v>
      </c>
      <c r="S472" s="93">
        <v>31388943.254850004</v>
      </c>
      <c r="U472" s="19" t="s">
        <v>5835</v>
      </c>
      <c r="V472" s="19">
        <v>17384</v>
      </c>
      <c r="W472" s="115">
        <v>1918.745255</v>
      </c>
      <c r="X472" s="115">
        <f t="shared" si="104"/>
        <v>33355467.51292</v>
      </c>
      <c r="Y472" s="261" t="s">
        <v>743</v>
      </c>
      <c r="Z472" t="s">
        <v>25</v>
      </c>
      <c r="AA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5656</v>
      </c>
      <c r="S473" s="93">
        <v>30912095.373174001</v>
      </c>
      <c r="U473" s="19" t="s">
        <v>5847</v>
      </c>
      <c r="V473" s="19">
        <v>133</v>
      </c>
      <c r="W473" s="115">
        <v>1954.8389770000001</v>
      </c>
      <c r="X473" s="115">
        <f t="shared" si="104"/>
        <v>259993.58394100002</v>
      </c>
      <c r="Y473" s="261" t="s">
        <v>5098</v>
      </c>
      <c r="AB473" t="s">
        <v>25</v>
      </c>
      <c r="AI473" s="20">
        <v>200</v>
      </c>
      <c r="AJ473" s="20" t="s">
        <v>5815</v>
      </c>
      <c r="AK473" s="115">
        <v>50000000</v>
      </c>
      <c r="AL473" s="20">
        <v>1</v>
      </c>
      <c r="AM473" s="20">
        <f t="shared" si="123"/>
        <v>240</v>
      </c>
      <c r="AN473" s="20">
        <f t="shared" si="124"/>
        <v>12000000000</v>
      </c>
      <c r="AO473" s="20" t="s">
        <v>5825</v>
      </c>
    </row>
    <row r="474" spans="18:46">
      <c r="R474" s="97" t="s">
        <v>5660</v>
      </c>
      <c r="S474" s="93">
        <v>19602926.115093999</v>
      </c>
      <c r="U474" s="19" t="s">
        <v>5848</v>
      </c>
      <c r="V474" s="19">
        <v>140</v>
      </c>
      <c r="W474" s="115">
        <v>1928.2522289999999</v>
      </c>
      <c r="X474" s="115">
        <f t="shared" si="104"/>
        <v>269955.31205999997</v>
      </c>
      <c r="Y474" s="261" t="s">
        <v>5098</v>
      </c>
      <c r="Z474" t="s">
        <v>25</v>
      </c>
      <c r="AI474" s="20">
        <v>201</v>
      </c>
      <c r="AJ474" s="20" t="s">
        <v>5831</v>
      </c>
      <c r="AK474" s="115">
        <v>50000000</v>
      </c>
      <c r="AL474" s="20">
        <v>8</v>
      </c>
      <c r="AM474" s="20">
        <f t="shared" si="123"/>
        <v>239</v>
      </c>
      <c r="AN474" s="20">
        <f t="shared" si="124"/>
        <v>11950000000</v>
      </c>
      <c r="AO474" s="20" t="s">
        <v>5825</v>
      </c>
    </row>
    <row r="475" spans="18:46">
      <c r="R475" s="97" t="s">
        <v>5662</v>
      </c>
      <c r="S475" s="93">
        <v>34458590.308710001</v>
      </c>
      <c r="U475" s="19" t="s">
        <v>6380</v>
      </c>
      <c r="V475" s="19">
        <v>15839</v>
      </c>
      <c r="W475" s="115">
        <v>1893.9957079999999</v>
      </c>
      <c r="X475" s="115">
        <f t="shared" si="104"/>
        <v>29998998.019012</v>
      </c>
      <c r="Y475" s="261" t="s">
        <v>6379</v>
      </c>
      <c r="AA475" t="s">
        <v>25</v>
      </c>
      <c r="AB475" t="s">
        <v>25</v>
      </c>
      <c r="AI475" s="20">
        <v>202</v>
      </c>
      <c r="AJ475" s="20" t="s">
        <v>6378</v>
      </c>
      <c r="AK475" s="115">
        <v>30000000</v>
      </c>
      <c r="AL475" s="20">
        <v>2</v>
      </c>
      <c r="AM475" s="20">
        <f t="shared" si="123"/>
        <v>231</v>
      </c>
      <c r="AN475" s="20">
        <f t="shared" si="124"/>
        <v>6930000000</v>
      </c>
      <c r="AO475" s="20" t="s">
        <v>6379</v>
      </c>
    </row>
    <row r="476" spans="18:46">
      <c r="R476" s="97" t="s">
        <v>5664</v>
      </c>
      <c r="S476" s="93">
        <v>21697868.203256</v>
      </c>
      <c r="U476" s="19" t="s">
        <v>6383</v>
      </c>
      <c r="V476" s="19">
        <v>26601</v>
      </c>
      <c r="W476" s="115">
        <v>1880.082026</v>
      </c>
      <c r="X476" s="115">
        <f t="shared" si="104"/>
        <v>50012061.973626003</v>
      </c>
      <c r="Y476" s="261" t="s">
        <v>5336</v>
      </c>
      <c r="AI476" s="147">
        <v>203</v>
      </c>
      <c r="AJ476" s="147" t="s">
        <v>6383</v>
      </c>
      <c r="AK476" s="186">
        <v>20000000</v>
      </c>
      <c r="AL476" s="147">
        <v>29</v>
      </c>
      <c r="AM476" s="147">
        <f t="shared" si="123"/>
        <v>229</v>
      </c>
      <c r="AN476" s="147">
        <f t="shared" si="124"/>
        <v>4580000000</v>
      </c>
      <c r="AO476" s="147" t="s">
        <v>6384</v>
      </c>
    </row>
    <row r="477" spans="18:46">
      <c r="R477" s="97" t="s">
        <v>5665</v>
      </c>
      <c r="S477" s="93">
        <v>25340079.252110001</v>
      </c>
      <c r="U477" s="187" t="s">
        <v>6383</v>
      </c>
      <c r="V477" s="187">
        <v>10637</v>
      </c>
      <c r="W477" s="186">
        <v>1880.082026</v>
      </c>
      <c r="X477" s="186">
        <f t="shared" si="104"/>
        <v>19998432.510561999</v>
      </c>
      <c r="Y477" s="260" t="s">
        <v>6384</v>
      </c>
      <c r="Z477" t="s">
        <v>25</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5668</v>
      </c>
      <c r="S478" s="93">
        <v>14780983.183526</v>
      </c>
      <c r="U478" s="19" t="s">
        <v>6389</v>
      </c>
      <c r="V478" s="19">
        <v>306</v>
      </c>
      <c r="W478" s="115">
        <v>1831.8117119999999</v>
      </c>
      <c r="X478" s="115">
        <f t="shared" si="104"/>
        <v>560534.38387200003</v>
      </c>
      <c r="Y478" s="261" t="s">
        <v>5098</v>
      </c>
      <c r="Z478" t="s">
        <v>25</v>
      </c>
      <c r="AI478" s="147">
        <v>205</v>
      </c>
      <c r="AJ478" s="147" t="s">
        <v>6410</v>
      </c>
      <c r="AK478" s="186">
        <v>2000000</v>
      </c>
      <c r="AL478" s="147">
        <v>110</v>
      </c>
      <c r="AM478" s="147">
        <f t="shared" si="125"/>
        <v>200</v>
      </c>
      <c r="AN478" s="147">
        <f t="shared" si="126"/>
        <v>400000000</v>
      </c>
      <c r="AO478" s="147" t="s">
        <v>6412</v>
      </c>
      <c r="AT478" t="s">
        <v>25</v>
      </c>
    </row>
    <row r="479" spans="18:46">
      <c r="R479" s="97" t="s">
        <v>5668</v>
      </c>
      <c r="S479" s="93">
        <v>17804396.448481999</v>
      </c>
      <c r="U479" s="19" t="s">
        <v>6391</v>
      </c>
      <c r="V479" s="19">
        <v>325</v>
      </c>
      <c r="W479" s="115">
        <v>1789.1845169999999</v>
      </c>
      <c r="X479" s="115">
        <f t="shared" si="104"/>
        <v>581484.96802499995</v>
      </c>
      <c r="Y479" s="261" t="s">
        <v>5098</v>
      </c>
      <c r="AA479" t="s">
        <v>25</v>
      </c>
      <c r="AI479" s="147">
        <v>206</v>
      </c>
      <c r="AJ479" s="147" t="s">
        <v>6629</v>
      </c>
      <c r="AK479" s="186">
        <v>5082711</v>
      </c>
      <c r="AL479" s="147">
        <v>89</v>
      </c>
      <c r="AM479" s="147">
        <f t="shared" si="125"/>
        <v>90</v>
      </c>
      <c r="AN479" s="147">
        <f t="shared" si="126"/>
        <v>457443990</v>
      </c>
      <c r="AO479" s="147" t="s">
        <v>6630</v>
      </c>
    </row>
    <row r="480" spans="18:46">
      <c r="R480" s="97" t="s">
        <v>5671</v>
      </c>
      <c r="S480" s="93">
        <v>260260000</v>
      </c>
      <c r="U480" s="19" t="s">
        <v>6393</v>
      </c>
      <c r="V480" s="19">
        <v>1154</v>
      </c>
      <c r="W480" s="115">
        <v>1851.788857</v>
      </c>
      <c r="X480" s="115">
        <f t="shared" si="104"/>
        <v>2136964.3409779998</v>
      </c>
      <c r="Y480" s="261" t="s">
        <v>5098</v>
      </c>
      <c r="AA480" t="s">
        <v>25</v>
      </c>
      <c r="AI480" s="147">
        <v>207</v>
      </c>
      <c r="AJ480" s="147" t="s">
        <v>7063</v>
      </c>
      <c r="AK480" s="186">
        <v>7300000</v>
      </c>
      <c r="AL480" s="147">
        <v>0</v>
      </c>
      <c r="AM480" s="147">
        <f t="shared" si="125"/>
        <v>1</v>
      </c>
      <c r="AN480" s="147">
        <f t="shared" si="126"/>
        <v>7300000</v>
      </c>
      <c r="AO480" s="147" t="s">
        <v>7065</v>
      </c>
    </row>
    <row r="481" spans="18:46" ht="30">
      <c r="R481" s="97" t="s">
        <v>5672</v>
      </c>
      <c r="S481" s="93">
        <v>11538335.631417999</v>
      </c>
      <c r="U481" s="19" t="s">
        <v>6393</v>
      </c>
      <c r="V481" s="19">
        <v>3240</v>
      </c>
      <c r="W481" s="115">
        <v>1851.788857</v>
      </c>
      <c r="X481" s="115">
        <f t="shared" si="104"/>
        <v>5999795.8966800002</v>
      </c>
      <c r="Y481" s="261" t="s">
        <v>6394</v>
      </c>
      <c r="AB481" t="s">
        <v>25</v>
      </c>
      <c r="AI481" s="20">
        <v>208</v>
      </c>
      <c r="AJ481" s="20" t="s">
        <v>7063</v>
      </c>
      <c r="AK481" s="115">
        <v>7000000</v>
      </c>
      <c r="AL481" s="20">
        <v>1</v>
      </c>
      <c r="AM481" s="20">
        <f t="shared" si="125"/>
        <v>1</v>
      </c>
      <c r="AN481" s="20">
        <f t="shared" si="126"/>
        <v>7000000</v>
      </c>
      <c r="AO481" s="20" t="s">
        <v>5825</v>
      </c>
    </row>
    <row r="482" spans="18:46">
      <c r="R482" s="97" t="s">
        <v>5680</v>
      </c>
      <c r="S482" s="93">
        <v>12429517.767776001</v>
      </c>
      <c r="U482" s="19" t="s">
        <v>6393</v>
      </c>
      <c r="V482" s="19">
        <v>-3240</v>
      </c>
      <c r="W482" s="115">
        <v>1851.788857</v>
      </c>
      <c r="X482" s="115">
        <f t="shared" si="104"/>
        <v>-5999795.8966800002</v>
      </c>
      <c r="Y482" s="261" t="s">
        <v>6395</v>
      </c>
      <c r="AA482" t="s">
        <v>25</v>
      </c>
      <c r="AI482" s="147"/>
      <c r="AJ482" s="147"/>
      <c r="AK482" s="186"/>
      <c r="AL482" s="147"/>
      <c r="AM482" s="147">
        <f t="shared" si="125"/>
        <v>0</v>
      </c>
      <c r="AN482" s="147">
        <f t="shared" si="126"/>
        <v>0</v>
      </c>
      <c r="AO482" s="147"/>
    </row>
    <row r="483" spans="18:46">
      <c r="R483" s="97" t="s">
        <v>5682</v>
      </c>
      <c r="S483" s="93">
        <v>5031176.5087869996</v>
      </c>
      <c r="U483" s="19" t="s">
        <v>6396</v>
      </c>
      <c r="V483" s="19">
        <v>330</v>
      </c>
      <c r="W483" s="115">
        <v>1799.34311</v>
      </c>
      <c r="X483" s="115">
        <f t="shared" si="104"/>
        <v>593783.22629999998</v>
      </c>
      <c r="Y483" s="261" t="s">
        <v>5098</v>
      </c>
      <c r="AB483" t="s">
        <v>25</v>
      </c>
      <c r="AI483" s="147"/>
      <c r="AJ483" s="147"/>
      <c r="AK483" s="186"/>
      <c r="AL483" s="147"/>
      <c r="AM483" s="147">
        <f t="shared" si="125"/>
        <v>0</v>
      </c>
      <c r="AN483" s="147">
        <f t="shared" si="126"/>
        <v>0</v>
      </c>
      <c r="AO483" s="147"/>
    </row>
    <row r="484" spans="18:46">
      <c r="R484" s="97" t="s">
        <v>5686</v>
      </c>
      <c r="S484" s="93">
        <v>6822803.9080700008</v>
      </c>
      <c r="U484" s="19" t="s">
        <v>6400</v>
      </c>
      <c r="V484" s="19">
        <v>266</v>
      </c>
      <c r="W484" s="115">
        <v>1764.9246700000001</v>
      </c>
      <c r="X484" s="115">
        <f t="shared" si="104"/>
        <v>469469.96222000004</v>
      </c>
      <c r="Y484" s="261" t="s">
        <v>5098</v>
      </c>
      <c r="Z484" t="s">
        <v>25</v>
      </c>
      <c r="AI484" s="20"/>
      <c r="AJ484" s="20"/>
      <c r="AK484" s="115"/>
      <c r="AL484" s="20"/>
      <c r="AM484" s="20">
        <f t="shared" si="123"/>
        <v>0</v>
      </c>
      <c r="AN484" s="20">
        <f t="shared" si="124"/>
        <v>0</v>
      </c>
      <c r="AO484" s="20"/>
    </row>
    <row r="485" spans="18:46">
      <c r="R485" s="97" t="s">
        <v>5695</v>
      </c>
      <c r="S485" s="93">
        <v>330889.73324399994</v>
      </c>
      <c r="U485" s="187" t="s">
        <v>6410</v>
      </c>
      <c r="V485" s="187">
        <v>-10637</v>
      </c>
      <c r="W485" s="186">
        <v>1739.5916549999999</v>
      </c>
      <c r="X485" s="186">
        <f t="shared" si="104"/>
        <v>-18504036.434234999</v>
      </c>
      <c r="Y485" s="260" t="s">
        <v>6413</v>
      </c>
      <c r="Z485" t="s">
        <v>25</v>
      </c>
      <c r="AB485" t="s">
        <v>25</v>
      </c>
      <c r="AI485" s="20"/>
      <c r="AJ485" s="20"/>
      <c r="AK485" s="115"/>
      <c r="AL485" s="20"/>
      <c r="AM485" s="20">
        <f t="shared" si="123"/>
        <v>0</v>
      </c>
      <c r="AN485" s="20">
        <f t="shared" si="124"/>
        <v>0</v>
      </c>
      <c r="AO485" s="20"/>
    </row>
    <row r="486" spans="18:46">
      <c r="R486" s="97" t="s">
        <v>5696</v>
      </c>
      <c r="S486" s="93">
        <v>6610318.1610199995</v>
      </c>
      <c r="U486" s="19" t="s">
        <v>6410</v>
      </c>
      <c r="V486" s="19">
        <v>10637</v>
      </c>
      <c r="W486" s="115">
        <v>1739.5916549999999</v>
      </c>
      <c r="X486" s="115">
        <f t="shared" si="104"/>
        <v>18504036.434234999</v>
      </c>
      <c r="Y486" s="261" t="s">
        <v>6414</v>
      </c>
      <c r="AB486" t="s">
        <v>25</v>
      </c>
      <c r="AI486" s="20"/>
      <c r="AJ486" s="20"/>
      <c r="AK486" s="115"/>
      <c r="AL486" s="20"/>
      <c r="AM486" s="20">
        <f t="shared" si="123"/>
        <v>0</v>
      </c>
      <c r="AN486" s="20">
        <f t="shared" si="124"/>
        <v>0</v>
      </c>
      <c r="AO486" s="20"/>
    </row>
    <row r="487" spans="18:46" ht="30">
      <c r="R487" s="97" t="s">
        <v>5698</v>
      </c>
      <c r="S487" s="93">
        <v>710713.17725199996</v>
      </c>
      <c r="U487" s="19" t="s">
        <v>6438</v>
      </c>
      <c r="V487" s="19">
        <v>39478</v>
      </c>
      <c r="W487" s="115">
        <v>1873.903047</v>
      </c>
      <c r="X487" s="115">
        <f t="shared" si="104"/>
        <v>73977944.489465997</v>
      </c>
      <c r="Y487" s="261" t="s">
        <v>6439</v>
      </c>
      <c r="AI487" s="97"/>
      <c r="AJ487" s="97"/>
      <c r="AK487" s="115"/>
      <c r="AL487" s="97"/>
      <c r="AM487" s="20">
        <f t="shared" si="123"/>
        <v>0</v>
      </c>
      <c r="AN487" s="20">
        <f t="shared" si="124"/>
        <v>0</v>
      </c>
      <c r="AO487" s="20"/>
    </row>
    <row r="488" spans="18:46">
      <c r="R488" s="97" t="s">
        <v>5701</v>
      </c>
      <c r="S488" s="93">
        <v>81025</v>
      </c>
      <c r="U488" s="19" t="s">
        <v>6443</v>
      </c>
      <c r="V488" s="19">
        <v>283</v>
      </c>
      <c r="W488" s="115">
        <v>2014.7222959999999</v>
      </c>
      <c r="X488" s="115">
        <f t="shared" si="104"/>
        <v>570166.40976800001</v>
      </c>
      <c r="Y488" s="261" t="s">
        <v>6444</v>
      </c>
      <c r="Z488" t="s">
        <v>25</v>
      </c>
      <c r="AB488" t="s">
        <v>25</v>
      </c>
      <c r="AI488" s="97"/>
      <c r="AJ488" s="97"/>
      <c r="AK488" s="115"/>
      <c r="AL488" s="97"/>
      <c r="AM488" s="20">
        <f t="shared" si="119"/>
        <v>0</v>
      </c>
      <c r="AN488" s="20">
        <f t="shared" si="120"/>
        <v>0</v>
      </c>
      <c r="AO488" s="97"/>
    </row>
    <row r="489" spans="18:46">
      <c r="R489" s="97" t="s">
        <v>5702</v>
      </c>
      <c r="S489" s="93">
        <v>219696.613128</v>
      </c>
      <c r="U489" s="19" t="s">
        <v>6446</v>
      </c>
      <c r="V489" s="19">
        <v>1704</v>
      </c>
      <c r="W489" s="115">
        <v>2104.0605820000001</v>
      </c>
      <c r="X489" s="115">
        <f t="shared" si="104"/>
        <v>3585319.2317280001</v>
      </c>
      <c r="Y489" s="261" t="s">
        <v>5098</v>
      </c>
      <c r="AA489" t="s">
        <v>25</v>
      </c>
      <c r="AB489" t="s">
        <v>25</v>
      </c>
      <c r="AI489" s="97"/>
      <c r="AJ489" s="97"/>
      <c r="AK489" s="93">
        <f>SUM(AK292:AK488)</f>
        <v>221175387.84822798</v>
      </c>
      <c r="AL489" s="97"/>
      <c r="AM489" s="97"/>
      <c r="AN489" s="97">
        <f>SUM(AN292:AN488)</f>
        <v>212966705974</v>
      </c>
      <c r="AO489" s="93">
        <f>AN489*AO278/31</f>
        <v>114500518.98285995</v>
      </c>
    </row>
    <row r="490" spans="18:46">
      <c r="R490" s="97" t="s">
        <v>5703</v>
      </c>
      <c r="S490" s="93">
        <v>6035472.4070199998</v>
      </c>
      <c r="U490" s="19" t="s">
        <v>6449</v>
      </c>
      <c r="V490" s="19">
        <v>324</v>
      </c>
      <c r="W490" s="115">
        <v>2088.5824040000002</v>
      </c>
      <c r="X490" s="115">
        <f t="shared" si="104"/>
        <v>676700.69889600005</v>
      </c>
      <c r="Y490" s="261" t="s">
        <v>5098</v>
      </c>
      <c r="Z490" t="s">
        <v>25</v>
      </c>
      <c r="AA490" t="s">
        <v>25</v>
      </c>
      <c r="AB490" t="s">
        <v>25</v>
      </c>
      <c r="AC490" t="s">
        <v>25</v>
      </c>
      <c r="AK490" t="s">
        <v>4041</v>
      </c>
      <c r="AN490" t="s">
        <v>284</v>
      </c>
      <c r="AO490" t="s">
        <v>926</v>
      </c>
    </row>
    <row r="491" spans="18:46">
      <c r="R491" s="97" t="s">
        <v>5704</v>
      </c>
      <c r="S491" s="93">
        <v>984486.34963200008</v>
      </c>
      <c r="U491" s="19" t="s">
        <v>6457</v>
      </c>
      <c r="V491" s="19">
        <v>538</v>
      </c>
      <c r="W491" s="115">
        <v>2055.3485930000002</v>
      </c>
      <c r="X491" s="115">
        <f t="shared" si="104"/>
        <v>1105777.5430340001</v>
      </c>
      <c r="Y491" s="261" t="s">
        <v>5098</v>
      </c>
      <c r="Z491" t="s">
        <v>25</v>
      </c>
      <c r="AT491" t="s">
        <v>25</v>
      </c>
    </row>
    <row r="492" spans="18:46">
      <c r="R492" s="97" t="s">
        <v>5714</v>
      </c>
      <c r="S492" s="93">
        <v>2143469.938015</v>
      </c>
      <c r="U492" s="19" t="s">
        <v>6461</v>
      </c>
      <c r="V492" s="19">
        <v>1031</v>
      </c>
      <c r="W492" s="115">
        <v>2245.620621</v>
      </c>
      <c r="X492" s="115">
        <f t="shared" si="104"/>
        <v>2315234.8602510002</v>
      </c>
      <c r="Y492" s="261" t="s">
        <v>5098</v>
      </c>
      <c r="Z492" t="s">
        <v>25</v>
      </c>
      <c r="AB492" t="s">
        <v>25</v>
      </c>
      <c r="AJ492" t="s">
        <v>4043</v>
      </c>
      <c r="AK492" s="112">
        <f>AK489+AO489</f>
        <v>335675906.83108795</v>
      </c>
      <c r="AN492" t="s">
        <v>25</v>
      </c>
    </row>
    <row r="493" spans="18:46">
      <c r="R493" s="97" t="s">
        <v>5715</v>
      </c>
      <c r="S493" s="93">
        <v>3085460.5177150001</v>
      </c>
      <c r="U493" s="19" t="s">
        <v>6463</v>
      </c>
      <c r="V493" s="19">
        <v>1804</v>
      </c>
      <c r="W493" s="115">
        <v>2292.882846</v>
      </c>
      <c r="X493" s="115">
        <f t="shared" si="104"/>
        <v>4136360.6541840001</v>
      </c>
      <c r="Y493" s="261" t="s">
        <v>5098</v>
      </c>
      <c r="AB493" t="s">
        <v>25</v>
      </c>
      <c r="AJ493" t="s">
        <v>4046</v>
      </c>
      <c r="AK493" s="112">
        <f>SUM(N26:N36)</f>
        <v>4426475368.8999996</v>
      </c>
    </row>
    <row r="494" spans="18:46">
      <c r="R494" s="97" t="s">
        <v>5716</v>
      </c>
      <c r="S494" s="93">
        <v>8261456.790906</v>
      </c>
      <c r="U494" s="19" t="s">
        <v>6465</v>
      </c>
      <c r="V494" s="19">
        <v>1348</v>
      </c>
      <c r="W494" s="115">
        <v>2252.0137020000002</v>
      </c>
      <c r="X494" s="115">
        <f t="shared" si="104"/>
        <v>3035714.4702960001</v>
      </c>
      <c r="Y494" s="261" t="s">
        <v>5098</v>
      </c>
      <c r="AJ494" t="s">
        <v>4116</v>
      </c>
      <c r="AK494" s="112">
        <f>AK493-AK489</f>
        <v>4205299981.0517716</v>
      </c>
    </row>
    <row r="495" spans="18:46">
      <c r="R495" s="97" t="s">
        <v>5720</v>
      </c>
      <c r="S495" s="93">
        <v>6572373.7593120001</v>
      </c>
      <c r="U495" s="19" t="s">
        <v>6473</v>
      </c>
      <c r="V495" s="19">
        <v>-76536</v>
      </c>
      <c r="W495" s="115">
        <v>2350.6086869999999</v>
      </c>
      <c r="X495" s="115">
        <f t="shared" si="104"/>
        <v>-179906186.46823201</v>
      </c>
      <c r="Y495" s="261" t="s">
        <v>6476</v>
      </c>
      <c r="AJ495" t="s">
        <v>926</v>
      </c>
      <c r="AK495" s="112">
        <f>AO489</f>
        <v>114500518.98285995</v>
      </c>
    </row>
    <row r="496" spans="18:46">
      <c r="R496" s="97" t="s">
        <v>5721</v>
      </c>
      <c r="S496" s="93">
        <v>2893243.5730909999</v>
      </c>
      <c r="U496" s="19" t="s">
        <v>6478</v>
      </c>
      <c r="V496" s="19">
        <v>145</v>
      </c>
      <c r="W496" s="115">
        <v>2379.7882030000001</v>
      </c>
      <c r="X496" s="115">
        <f t="shared" si="104"/>
        <v>345069.28943499998</v>
      </c>
      <c r="Y496" s="261" t="s">
        <v>5098</v>
      </c>
      <c r="Z496" t="s">
        <v>25</v>
      </c>
      <c r="AB496" t="s">
        <v>25</v>
      </c>
      <c r="AC496" t="s">
        <v>25</v>
      </c>
      <c r="AJ496" t="s">
        <v>4047</v>
      </c>
      <c r="AK496" s="112">
        <f>AK494-AK495</f>
        <v>4090799462.0689116</v>
      </c>
      <c r="AN496" t="s">
        <v>25</v>
      </c>
      <c r="AO496" t="s">
        <v>25</v>
      </c>
    </row>
    <row r="497" spans="18:41">
      <c r="R497" s="97" t="s">
        <v>5726</v>
      </c>
      <c r="S497" s="93">
        <v>94992058.939007998</v>
      </c>
      <c r="U497" s="187" t="s">
        <v>6478</v>
      </c>
      <c r="V497" s="187">
        <v>55</v>
      </c>
      <c r="W497" s="186">
        <v>2379.7882030000001</v>
      </c>
      <c r="X497" s="186">
        <f t="shared" si="104"/>
        <v>130888.351165</v>
      </c>
      <c r="Y497" s="260" t="s">
        <v>6564</v>
      </c>
      <c r="AA497" t="s">
        <v>25</v>
      </c>
      <c r="AM497" t="s">
        <v>25</v>
      </c>
      <c r="AN497" t="s">
        <v>25</v>
      </c>
      <c r="AO497" t="s">
        <v>25</v>
      </c>
    </row>
    <row r="498" spans="18:41">
      <c r="R498" s="97" t="s">
        <v>5731</v>
      </c>
      <c r="S498" s="93">
        <v>275021.925965</v>
      </c>
      <c r="U498" s="19" t="s">
        <v>6478</v>
      </c>
      <c r="V498" s="19">
        <v>53</v>
      </c>
      <c r="W498" s="115">
        <v>2379.7882030000001</v>
      </c>
      <c r="X498" s="115">
        <f t="shared" si="104"/>
        <v>126128.77475900001</v>
      </c>
      <c r="Y498" s="261" t="s">
        <v>6565</v>
      </c>
      <c r="AA498" t="s">
        <v>25</v>
      </c>
    </row>
    <row r="499" spans="18:41">
      <c r="R499" s="97" t="s">
        <v>5741</v>
      </c>
      <c r="S499" s="93">
        <v>327451.9203</v>
      </c>
      <c r="U499" s="19" t="s">
        <v>6570</v>
      </c>
      <c r="V499" s="19">
        <v>243</v>
      </c>
      <c r="W499" s="115">
        <v>2336.5653440000001</v>
      </c>
      <c r="X499" s="115">
        <f t="shared" si="104"/>
        <v>567785.37859199999</v>
      </c>
      <c r="Y499" s="261" t="s">
        <v>5098</v>
      </c>
      <c r="AC499" t="s">
        <v>25</v>
      </c>
    </row>
    <row r="500" spans="18:41">
      <c r="R500" s="97" t="s">
        <v>5749</v>
      </c>
      <c r="S500" s="93">
        <v>260081.94096800001</v>
      </c>
      <c r="U500" s="19" t="s">
        <v>6581</v>
      </c>
      <c r="V500" s="19">
        <v>81</v>
      </c>
      <c r="W500" s="115">
        <v>2341.77675</v>
      </c>
      <c r="X500" s="115">
        <f t="shared" si="104"/>
        <v>189683.91675</v>
      </c>
      <c r="Y500" s="261" t="s">
        <v>5098</v>
      </c>
      <c r="Z500" t="s">
        <v>25</v>
      </c>
      <c r="AO500" t="s">
        <v>25</v>
      </c>
    </row>
    <row r="501" spans="18:41">
      <c r="R501" s="97" t="s">
        <v>5750</v>
      </c>
      <c r="S501" s="93">
        <v>2909284.5308940001</v>
      </c>
      <c r="U501" s="187" t="s">
        <v>6582</v>
      </c>
      <c r="V501" s="187">
        <v>21767</v>
      </c>
      <c r="W501" s="186">
        <v>2297.060872</v>
      </c>
      <c r="X501" s="186">
        <f t="shared" si="104"/>
        <v>50000124.000823997</v>
      </c>
      <c r="Y501" s="260" t="s">
        <v>6584</v>
      </c>
      <c r="AC501" t="s">
        <v>25</v>
      </c>
      <c r="AO501" t="s">
        <v>25</v>
      </c>
    </row>
    <row r="502" spans="18:41">
      <c r="R502" s="97" t="s">
        <v>5751</v>
      </c>
      <c r="S502" s="93">
        <v>37723205.094084002</v>
      </c>
      <c r="U502" s="19" t="s">
        <v>6582</v>
      </c>
      <c r="V502" s="19">
        <v>4353</v>
      </c>
      <c r="W502" s="115">
        <v>2297.060872</v>
      </c>
      <c r="X502" s="115">
        <f t="shared" si="104"/>
        <v>9999105.9758160003</v>
      </c>
      <c r="Y502" s="261" t="s">
        <v>6585</v>
      </c>
      <c r="AA502" t="s">
        <v>25</v>
      </c>
    </row>
    <row r="503" spans="18:41">
      <c r="R503" s="97" t="s">
        <v>5752</v>
      </c>
      <c r="S503" s="93">
        <v>1500094.75168</v>
      </c>
      <c r="U503" s="19" t="s">
        <v>6582</v>
      </c>
      <c r="V503" s="19">
        <v>226</v>
      </c>
      <c r="W503" s="115">
        <v>2297.060872</v>
      </c>
      <c r="X503" s="115">
        <f t="shared" si="104"/>
        <v>519135.75707200001</v>
      </c>
      <c r="Y503" s="261" t="s">
        <v>5098</v>
      </c>
      <c r="AB503" t="s">
        <v>25</v>
      </c>
    </row>
    <row r="504" spans="18:41">
      <c r="R504" s="97" t="s">
        <v>5754</v>
      </c>
      <c r="S504" s="93">
        <v>7230628.4378079996</v>
      </c>
      <c r="U504" s="19" t="s">
        <v>6588</v>
      </c>
      <c r="V504" s="19">
        <v>1416</v>
      </c>
      <c r="W504" s="115">
        <v>2405.6595360000001</v>
      </c>
      <c r="X504" s="115">
        <f t="shared" si="104"/>
        <v>3406413.9029760002</v>
      </c>
      <c r="Y504" s="261" t="s">
        <v>5098</v>
      </c>
      <c r="AA504" t="s">
        <v>25</v>
      </c>
    </row>
    <row r="505" spans="18:41">
      <c r="R505" s="97" t="s">
        <v>5755</v>
      </c>
      <c r="S505" s="93">
        <v>29767389.390390001</v>
      </c>
      <c r="U505" s="19" t="s">
        <v>6590</v>
      </c>
      <c r="V505" s="19">
        <v>172</v>
      </c>
      <c r="W505" s="115">
        <v>2529.2810939999999</v>
      </c>
      <c r="X505" s="115">
        <f t="shared" si="104"/>
        <v>435036.348168</v>
      </c>
      <c r="Y505" s="261" t="s">
        <v>5098</v>
      </c>
      <c r="AA505" t="s">
        <v>25</v>
      </c>
    </row>
    <row r="506" spans="18:41">
      <c r="R506" s="97" t="s">
        <v>5757</v>
      </c>
      <c r="S506" s="93">
        <v>151560.25597</v>
      </c>
      <c r="U506" s="19" t="s">
        <v>6598</v>
      </c>
      <c r="V506" s="19">
        <v>-3909</v>
      </c>
      <c r="W506" s="115">
        <v>2881.8852230000002</v>
      </c>
      <c r="X506" s="115">
        <f>V506*W506</f>
        <v>-11265289.336707002</v>
      </c>
      <c r="Y506" s="261" t="s">
        <v>6599</v>
      </c>
    </row>
    <row r="507" spans="18:41">
      <c r="R507" s="97" t="s">
        <v>5760</v>
      </c>
      <c r="S507" s="93">
        <v>481318.88078800001</v>
      </c>
      <c r="U507" s="187" t="s">
        <v>6598</v>
      </c>
      <c r="V507" s="187">
        <v>-932</v>
      </c>
      <c r="W507" s="186">
        <v>2881.8852230000002</v>
      </c>
      <c r="X507" s="186">
        <f t="shared" si="104"/>
        <v>-2685917.0278360001</v>
      </c>
      <c r="Y507" s="260" t="s">
        <v>6600</v>
      </c>
      <c r="AB507" t="s">
        <v>25</v>
      </c>
    </row>
    <row r="508" spans="18:41">
      <c r="R508" s="97" t="s">
        <v>5772</v>
      </c>
      <c r="S508" s="93">
        <v>146277.56820000001</v>
      </c>
      <c r="U508" s="19" t="s">
        <v>6610</v>
      </c>
      <c r="V508" s="19">
        <v>33</v>
      </c>
      <c r="W508" s="115">
        <v>2905.0202519999998</v>
      </c>
      <c r="X508" s="115">
        <f t="shared" si="104"/>
        <v>95865.668315999996</v>
      </c>
      <c r="Y508" s="261" t="s">
        <v>4406</v>
      </c>
    </row>
    <row r="509" spans="18:41">
      <c r="R509" s="97" t="s">
        <v>5775</v>
      </c>
      <c r="S509" s="93">
        <v>424693.40162399999</v>
      </c>
      <c r="U509" s="187" t="s">
        <v>6629</v>
      </c>
      <c r="V509" s="187">
        <v>10421</v>
      </c>
      <c r="W509" s="186">
        <v>2780.2819920000002</v>
      </c>
      <c r="X509" s="186">
        <f t="shared" si="104"/>
        <v>28973318.638632003</v>
      </c>
      <c r="Y509" s="260" t="s">
        <v>6631</v>
      </c>
    </row>
    <row r="510" spans="18:41">
      <c r="R510" s="97" t="s">
        <v>5777</v>
      </c>
      <c r="S510" s="93">
        <v>558320.40202399995</v>
      </c>
      <c r="U510" s="19" t="s">
        <v>6629</v>
      </c>
      <c r="V510" s="19">
        <v>835</v>
      </c>
      <c r="W510" s="115">
        <v>2780.2819920000002</v>
      </c>
      <c r="X510" s="115">
        <f t="shared" si="104"/>
        <v>2321535.4633200001</v>
      </c>
      <c r="Y510" s="261" t="s">
        <v>5098</v>
      </c>
    </row>
    <row r="511" spans="18:41">
      <c r="R511" s="97" t="s">
        <v>5799</v>
      </c>
      <c r="S511" s="93">
        <v>207642.22201140001</v>
      </c>
      <c r="U511" s="19" t="s">
        <v>6910</v>
      </c>
      <c r="V511" s="19">
        <v>410</v>
      </c>
      <c r="W511" s="115">
        <v>2678.4068379999999</v>
      </c>
      <c r="X511" s="115">
        <f t="shared" si="104"/>
        <v>1098146.8035800001</v>
      </c>
      <c r="Y511" s="261" t="s">
        <v>5098</v>
      </c>
    </row>
    <row r="512" spans="18:41">
      <c r="R512" s="97" t="s">
        <v>5799</v>
      </c>
      <c r="S512" s="93">
        <v>33832510.64875</v>
      </c>
      <c r="U512" s="19" t="s">
        <v>6915</v>
      </c>
      <c r="V512" s="19">
        <v>201</v>
      </c>
      <c r="W512" s="115">
        <v>2688.6794049999999</v>
      </c>
      <c r="X512" s="115">
        <f t="shared" si="104"/>
        <v>540424.560405</v>
      </c>
      <c r="Y512" s="261" t="s">
        <v>5098</v>
      </c>
      <c r="AA512" t="s">
        <v>25</v>
      </c>
    </row>
    <row r="513" spans="15:28">
      <c r="R513" s="97" t="s">
        <v>5808</v>
      </c>
      <c r="S513" s="93">
        <v>637977.33504399995</v>
      </c>
      <c r="U513" s="19" t="s">
        <v>6917</v>
      </c>
      <c r="V513" s="19">
        <v>1133</v>
      </c>
      <c r="W513" s="115">
        <v>2455.1740869999999</v>
      </c>
      <c r="X513" s="115">
        <f t="shared" si="104"/>
        <v>2781712.2405709997</v>
      </c>
      <c r="Y513" s="261" t="s">
        <v>5098</v>
      </c>
      <c r="AA513" t="s">
        <v>25</v>
      </c>
      <c r="AB513" t="s">
        <v>25</v>
      </c>
    </row>
    <row r="514" spans="15:28" ht="30">
      <c r="R514" s="97" t="s">
        <v>5809</v>
      </c>
      <c r="S514" s="93">
        <v>466552.25632400002</v>
      </c>
      <c r="U514" s="19" t="s">
        <v>6920</v>
      </c>
      <c r="V514" s="19">
        <v>59</v>
      </c>
      <c r="W514" s="115">
        <v>2706.4553110000002</v>
      </c>
      <c r="X514" s="115">
        <f t="shared" si="104"/>
        <v>159680.86334900002</v>
      </c>
      <c r="Y514" s="261" t="s">
        <v>6921</v>
      </c>
      <c r="Z514" t="s">
        <v>25</v>
      </c>
      <c r="AA514" t="s">
        <v>25</v>
      </c>
      <c r="AB514" t="s">
        <v>25</v>
      </c>
    </row>
    <row r="515" spans="15:28">
      <c r="R515" s="97" t="s">
        <v>5810</v>
      </c>
      <c r="S515" s="93">
        <v>149316.98805000001</v>
      </c>
      <c r="U515" s="19" t="s">
        <v>6946</v>
      </c>
      <c r="V515" s="19">
        <v>4795</v>
      </c>
      <c r="W515" s="115">
        <v>2908.4025580000002</v>
      </c>
      <c r="X515" s="115">
        <f t="shared" si="104"/>
        <v>13945790.265610002</v>
      </c>
      <c r="Y515" s="261" t="s">
        <v>5338</v>
      </c>
    </row>
    <row r="516" spans="15:28">
      <c r="P516" t="s">
        <v>25</v>
      </c>
      <c r="R516" s="97" t="s">
        <v>5810</v>
      </c>
      <c r="S516" s="93">
        <v>189134.85153000001</v>
      </c>
      <c r="U516" s="19" t="s">
        <v>6948</v>
      </c>
      <c r="V516" s="19">
        <v>164</v>
      </c>
      <c r="W516" s="115">
        <v>2792.1636870000002</v>
      </c>
      <c r="X516" s="115">
        <f t="shared" si="104"/>
        <v>457914.84466800001</v>
      </c>
      <c r="Y516" s="261" t="s">
        <v>5338</v>
      </c>
    </row>
    <row r="517" spans="15:28">
      <c r="R517" s="97" t="s">
        <v>5812</v>
      </c>
      <c r="S517" s="93">
        <v>564888.82799599995</v>
      </c>
      <c r="U517" s="19" t="s">
        <v>6950</v>
      </c>
      <c r="V517" s="19">
        <v>352</v>
      </c>
      <c r="W517" s="115">
        <v>2768.6657369999998</v>
      </c>
      <c r="X517" s="115">
        <f t="shared" si="104"/>
        <v>974570.33942399989</v>
      </c>
      <c r="Y517" s="261" t="s">
        <v>5338</v>
      </c>
    </row>
    <row r="518" spans="15:28">
      <c r="R518" s="97" t="s">
        <v>5815</v>
      </c>
      <c r="S518" s="93">
        <v>8762299.2047910001</v>
      </c>
      <c r="U518" s="19" t="s">
        <v>6952</v>
      </c>
      <c r="V518" s="19">
        <v>283</v>
      </c>
      <c r="W518" s="115">
        <v>2636.7439079999999</v>
      </c>
      <c r="X518" s="115">
        <f t="shared" si="104"/>
        <v>746198.52596400003</v>
      </c>
      <c r="Y518" s="261" t="s">
        <v>5338</v>
      </c>
      <c r="Z518" t="s">
        <v>25</v>
      </c>
    </row>
    <row r="519" spans="15:28">
      <c r="R519" s="97" t="s">
        <v>5815</v>
      </c>
      <c r="S519" s="93">
        <v>-341847876.93843603</v>
      </c>
      <c r="U519" s="19" t="s">
        <v>6955</v>
      </c>
      <c r="V519" s="19">
        <v>154</v>
      </c>
      <c r="W519" s="115">
        <v>2702</v>
      </c>
      <c r="X519" s="115">
        <f t="shared" si="104"/>
        <v>416108</v>
      </c>
      <c r="Y519" s="261" t="s">
        <v>5338</v>
      </c>
      <c r="Z519" t="s">
        <v>25</v>
      </c>
      <c r="AA519" t="s">
        <v>25</v>
      </c>
    </row>
    <row r="520" spans="15:28">
      <c r="R520" s="97" t="s">
        <v>5847</v>
      </c>
      <c r="S520" s="93">
        <v>259993.58394100002</v>
      </c>
      <c r="U520" s="19" t="s">
        <v>6970</v>
      </c>
      <c r="V520" s="19">
        <v>135</v>
      </c>
      <c r="W520" s="115">
        <v>2678.6709300000002</v>
      </c>
      <c r="X520" s="115">
        <f t="shared" si="104"/>
        <v>361620.57555000001</v>
      </c>
      <c r="Y520" s="261" t="s">
        <v>5338</v>
      </c>
      <c r="AA520" t="s">
        <v>25</v>
      </c>
    </row>
    <row r="521" spans="15:28">
      <c r="R521" s="97" t="s">
        <v>5848</v>
      </c>
      <c r="S521" s="93">
        <v>269955.31205999997</v>
      </c>
      <c r="U521" s="19" t="s">
        <v>6971</v>
      </c>
      <c r="V521" s="19">
        <v>291</v>
      </c>
      <c r="W521" s="115">
        <v>2616.1873500000002</v>
      </c>
      <c r="X521" s="115">
        <f t="shared" si="104"/>
        <v>761310.51884999999</v>
      </c>
      <c r="Y521" s="261" t="s">
        <v>5338</v>
      </c>
      <c r="AA521" t="s">
        <v>25</v>
      </c>
    </row>
    <row r="522" spans="15:28">
      <c r="R522" s="97" t="s">
        <v>6389</v>
      </c>
      <c r="S522" s="93">
        <v>560534.38387200003</v>
      </c>
      <c r="U522" s="19" t="s">
        <v>6974</v>
      </c>
      <c r="V522" s="19">
        <v>1194</v>
      </c>
      <c r="W522" s="115">
        <v>2552.0103049999998</v>
      </c>
      <c r="X522" s="115">
        <f t="shared" si="104"/>
        <v>3047100.3041699999</v>
      </c>
      <c r="Y522" s="261" t="s">
        <v>5338</v>
      </c>
      <c r="Z522" t="s">
        <v>25</v>
      </c>
      <c r="AA522" t="s">
        <v>25</v>
      </c>
    </row>
    <row r="523" spans="15:28">
      <c r="R523" s="97" t="s">
        <v>6391</v>
      </c>
      <c r="S523" s="93">
        <v>581484.96802499995</v>
      </c>
      <c r="U523" s="19" t="s">
        <v>6977</v>
      </c>
      <c r="V523" s="19">
        <v>928</v>
      </c>
      <c r="W523" s="115">
        <v>2626.1621239999999</v>
      </c>
      <c r="X523" s="115">
        <f t="shared" si="104"/>
        <v>2437078.451072</v>
      </c>
      <c r="Y523" s="261" t="s">
        <v>5338</v>
      </c>
    </row>
    <row r="524" spans="15:28">
      <c r="R524" s="97" t="s">
        <v>6393</v>
      </c>
      <c r="S524" s="93">
        <v>2136964.3409779998</v>
      </c>
      <c r="U524" s="187" t="s">
        <v>7034</v>
      </c>
      <c r="V524" s="187">
        <v>-15181</v>
      </c>
      <c r="W524" s="186">
        <v>2675.3319820000002</v>
      </c>
      <c r="X524" s="186">
        <f t="shared" si="104"/>
        <v>-40614214.818742</v>
      </c>
      <c r="Y524" s="260" t="s">
        <v>7035</v>
      </c>
      <c r="AB524" t="s">
        <v>25</v>
      </c>
    </row>
    <row r="525" spans="15:28">
      <c r="R525" s="97" t="s">
        <v>6396</v>
      </c>
      <c r="S525" s="93">
        <v>593783.22629999998</v>
      </c>
      <c r="U525" s="19" t="s">
        <v>7059</v>
      </c>
      <c r="V525" s="19">
        <v>3122</v>
      </c>
      <c r="W525" s="115">
        <v>2481.626972</v>
      </c>
      <c r="X525" s="115">
        <f t="shared" si="104"/>
        <v>7747639.4065840002</v>
      </c>
      <c r="Y525" s="261" t="s">
        <v>5338</v>
      </c>
      <c r="AB525" t="s">
        <v>5526</v>
      </c>
    </row>
    <row r="526" spans="15:28">
      <c r="R526" s="97" t="s">
        <v>6400</v>
      </c>
      <c r="S526" s="93">
        <v>469469.96222000004</v>
      </c>
      <c r="U526" s="19" t="s">
        <v>7061</v>
      </c>
      <c r="V526" s="19">
        <v>2209</v>
      </c>
      <c r="W526" s="115">
        <v>2528.2563839999998</v>
      </c>
      <c r="X526" s="115">
        <f t="shared" si="104"/>
        <v>5584918.3522559991</v>
      </c>
      <c r="Y526" s="261" t="s">
        <v>5338</v>
      </c>
      <c r="Z526" t="s">
        <v>25</v>
      </c>
    </row>
    <row r="527" spans="15:28">
      <c r="O527" s="112"/>
      <c r="R527" s="97" t="s">
        <v>6438</v>
      </c>
      <c r="S527" s="93">
        <v>73977944.489465997</v>
      </c>
      <c r="U527" s="187" t="s">
        <v>7063</v>
      </c>
      <c r="V527" s="187">
        <v>2977</v>
      </c>
      <c r="W527" s="186">
        <v>2451.5674020000001</v>
      </c>
      <c r="X527" s="186">
        <f t="shared" si="104"/>
        <v>7298316.1557539999</v>
      </c>
      <c r="Y527" s="260" t="s">
        <v>1069</v>
      </c>
      <c r="Z527" t="s">
        <v>25</v>
      </c>
    </row>
    <row r="528" spans="15:28">
      <c r="R528" s="97" t="s">
        <v>6443</v>
      </c>
      <c r="S528" s="93">
        <v>570166.40976800001</v>
      </c>
      <c r="U528" s="19" t="s">
        <v>7063</v>
      </c>
      <c r="V528" s="19">
        <v>2857</v>
      </c>
      <c r="W528" s="115">
        <v>2451.5674020000001</v>
      </c>
      <c r="X528" s="115">
        <f t="shared" si="104"/>
        <v>7004128.0675140005</v>
      </c>
      <c r="Y528" s="261" t="s">
        <v>743</v>
      </c>
    </row>
    <row r="529" spans="18:28">
      <c r="R529" s="97" t="s">
        <v>6446</v>
      </c>
      <c r="S529" s="93">
        <v>3585319.2317280001</v>
      </c>
      <c r="U529" s="19" t="s">
        <v>7063</v>
      </c>
      <c r="V529" s="19">
        <v>234</v>
      </c>
      <c r="W529" s="115">
        <v>2451.5674020000001</v>
      </c>
      <c r="X529" s="115">
        <f t="shared" si="104"/>
        <v>573666.77206800005</v>
      </c>
      <c r="Y529" s="261" t="s">
        <v>5098</v>
      </c>
      <c r="Z529" t="s">
        <v>25</v>
      </c>
    </row>
    <row r="530" spans="18:28">
      <c r="R530" s="97" t="s">
        <v>6449</v>
      </c>
      <c r="S530" s="93">
        <v>676700.69889600005</v>
      </c>
      <c r="U530" s="19" t="s">
        <v>7077</v>
      </c>
      <c r="V530" s="19">
        <v>751</v>
      </c>
      <c r="W530" s="115">
        <v>2490.0381539999998</v>
      </c>
      <c r="X530" s="115">
        <f t="shared" si="104"/>
        <v>1870018.6536539998</v>
      </c>
      <c r="Y530" s="261" t="s">
        <v>5098</v>
      </c>
      <c r="AA530" t="s">
        <v>25</v>
      </c>
    </row>
    <row r="531" spans="18:28">
      <c r="R531" s="97" t="s">
        <v>6457</v>
      </c>
      <c r="S531" s="93">
        <v>1105777.5430340001</v>
      </c>
      <c r="U531" s="19" t="s">
        <v>7088</v>
      </c>
      <c r="V531" s="19">
        <v>44</v>
      </c>
      <c r="W531" s="115">
        <v>2664.1462569999999</v>
      </c>
      <c r="X531" s="115">
        <f t="shared" si="104"/>
        <v>117222.435308</v>
      </c>
      <c r="Y531" s="261" t="s">
        <v>5098</v>
      </c>
      <c r="AA531" t="s">
        <v>25</v>
      </c>
    </row>
    <row r="532" spans="18:28">
      <c r="R532" s="97" t="s">
        <v>6461</v>
      </c>
      <c r="S532" s="93">
        <v>2315234.8602510002</v>
      </c>
      <c r="U532" s="19" t="s">
        <v>7092</v>
      </c>
      <c r="V532" s="19">
        <v>717</v>
      </c>
      <c r="W532" s="115">
        <v>2706.9144700000002</v>
      </c>
      <c r="X532" s="115">
        <f t="shared" si="104"/>
        <v>1940857.6749900002</v>
      </c>
      <c r="Y532" s="261" t="s">
        <v>5098</v>
      </c>
    </row>
    <row r="533" spans="18:28">
      <c r="R533" s="97" t="s">
        <v>6463</v>
      </c>
      <c r="S533" s="93">
        <v>4136360.6541840001</v>
      </c>
      <c r="U533" s="19"/>
      <c r="V533" s="19"/>
      <c r="W533" s="115"/>
      <c r="X533" s="115">
        <f t="shared" si="104"/>
        <v>0</v>
      </c>
      <c r="Y533" s="261"/>
      <c r="Z533" t="s">
        <v>25</v>
      </c>
    </row>
    <row r="534" spans="18:28">
      <c r="R534" s="97" t="s">
        <v>6465</v>
      </c>
      <c r="S534" s="93">
        <v>3035714.4702960001</v>
      </c>
      <c r="U534" s="19"/>
      <c r="V534" s="19"/>
      <c r="W534" s="115"/>
      <c r="X534" s="115">
        <f t="shared" si="104"/>
        <v>0</v>
      </c>
      <c r="Y534" s="261"/>
      <c r="AA534" t="s">
        <v>25</v>
      </c>
      <c r="AB534" t="s">
        <v>25</v>
      </c>
    </row>
    <row r="535" spans="18:28">
      <c r="R535" s="97" t="s">
        <v>6473</v>
      </c>
      <c r="S535" s="93">
        <v>-179906186.46823201</v>
      </c>
      <c r="U535" s="97"/>
      <c r="V535" s="166"/>
      <c r="W535" s="111"/>
      <c r="X535" s="115">
        <f t="shared" si="104"/>
        <v>0</v>
      </c>
      <c r="Y535" s="97"/>
    </row>
    <row r="536" spans="18:28">
      <c r="R536" s="97" t="s">
        <v>6478</v>
      </c>
      <c r="S536" s="93">
        <v>345069.28943499998</v>
      </c>
      <c r="U536" s="166"/>
      <c r="V536" s="166">
        <f>SUM(V172:V535)</f>
        <v>4322521</v>
      </c>
      <c r="W536" s="97"/>
      <c r="X536" s="97"/>
      <c r="Y536" s="97"/>
    </row>
    <row r="537" spans="18:28">
      <c r="R537" s="97" t="s">
        <v>6570</v>
      </c>
      <c r="S537" s="93">
        <v>567785.37859199999</v>
      </c>
      <c r="U537" s="97"/>
      <c r="V537" s="97" t="s">
        <v>6</v>
      </c>
      <c r="W537" s="97"/>
      <c r="X537" s="97"/>
      <c r="Y537" s="97"/>
    </row>
    <row r="538" spans="18:28">
      <c r="R538" s="97" t="s">
        <v>6581</v>
      </c>
      <c r="S538" s="93">
        <v>189683.91675</v>
      </c>
      <c r="U538" s="197" t="s">
        <v>4433</v>
      </c>
    </row>
    <row r="539" spans="18:28">
      <c r="R539" s="97" t="s">
        <v>6582</v>
      </c>
      <c r="S539" s="93">
        <v>10000000</v>
      </c>
      <c r="U539" s="196">
        <f>S188/V536</f>
        <v>2559.7398359660947</v>
      </c>
      <c r="Y539" t="s">
        <v>25</v>
      </c>
    </row>
    <row r="540" spans="18:28">
      <c r="R540" s="97" t="s">
        <v>6582</v>
      </c>
      <c r="S540" s="93">
        <v>519135.75707200001</v>
      </c>
      <c r="X540" s="112"/>
    </row>
    <row r="541" spans="18:28">
      <c r="R541" s="97" t="s">
        <v>6588</v>
      </c>
      <c r="S541" s="93">
        <v>3406413.9029760002</v>
      </c>
      <c r="V541" s="94" t="s">
        <v>267</v>
      </c>
      <c r="W541" t="s">
        <v>4434</v>
      </c>
      <c r="Y541" t="s">
        <v>25</v>
      </c>
      <c r="AA541" t="s">
        <v>25</v>
      </c>
    </row>
    <row r="542" spans="18:28">
      <c r="R542" s="97" t="s">
        <v>6590</v>
      </c>
      <c r="S542" s="93">
        <v>435036.348168</v>
      </c>
      <c r="U542" s="112"/>
      <c r="V542" s="93">
        <v>-1943451</v>
      </c>
      <c r="W542">
        <f>V542/U539</f>
        <v>-759.23770560319633</v>
      </c>
      <c r="Y542" t="s">
        <v>25</v>
      </c>
    </row>
    <row r="543" spans="18:28">
      <c r="R543" s="97" t="s">
        <v>6629</v>
      </c>
      <c r="S543" s="93">
        <v>2321535.4633200001</v>
      </c>
      <c r="U543" t="s">
        <v>25</v>
      </c>
      <c r="Y543" t="s">
        <v>25</v>
      </c>
    </row>
    <row r="544" spans="18:28">
      <c r="R544" s="97" t="s">
        <v>6910</v>
      </c>
      <c r="S544" s="93">
        <v>1098146.8035800001</v>
      </c>
      <c r="U544" t="s">
        <v>25</v>
      </c>
      <c r="V544" s="94" t="s">
        <v>25</v>
      </c>
      <c r="W544" s="22"/>
      <c r="X544" s="213"/>
      <c r="Y544" s="270" t="s">
        <v>25</v>
      </c>
    </row>
    <row r="545" spans="18:25">
      <c r="R545" s="97" t="s">
        <v>6915</v>
      </c>
      <c r="S545" s="93">
        <v>540424.560405</v>
      </c>
      <c r="W545" t="s">
        <v>25</v>
      </c>
      <c r="X545" s="94" t="s">
        <v>25</v>
      </c>
      <c r="Y545" t="s">
        <v>25</v>
      </c>
    </row>
    <row r="546" spans="18:25">
      <c r="R546" s="97" t="s">
        <v>6917</v>
      </c>
      <c r="S546" s="93">
        <v>2781712.2405709997</v>
      </c>
      <c r="U546" t="s">
        <v>25</v>
      </c>
      <c r="X546" s="112"/>
      <c r="Y546" t="s">
        <v>25</v>
      </c>
    </row>
    <row r="547" spans="18:25">
      <c r="R547" s="97" t="s">
        <v>6920</v>
      </c>
      <c r="S547" s="93">
        <v>159680.86334900002</v>
      </c>
      <c r="U547" s="22"/>
      <c r="W547" s="213"/>
    </row>
    <row r="548" spans="18:25">
      <c r="R548" s="97" t="s">
        <v>6946</v>
      </c>
      <c r="S548" s="93">
        <v>13945790.265610002</v>
      </c>
      <c r="U548" s="22"/>
      <c r="X548" s="270"/>
    </row>
    <row r="549" spans="18:25">
      <c r="R549" s="97" t="s">
        <v>6948</v>
      </c>
      <c r="S549" s="93">
        <v>457914.84466800001</v>
      </c>
    </row>
    <row r="550" spans="18:25">
      <c r="R550" s="97" t="s">
        <v>6950</v>
      </c>
      <c r="S550" s="93">
        <v>974570.33942399989</v>
      </c>
    </row>
    <row r="551" spans="18:25">
      <c r="R551" s="97" t="s">
        <v>6952</v>
      </c>
      <c r="S551" s="93">
        <v>746198.52596400003</v>
      </c>
      <c r="U551" s="97" t="s">
        <v>4435</v>
      </c>
      <c r="V551" s="97" t="s">
        <v>4416</v>
      </c>
      <c r="W551" s="97" t="s">
        <v>936</v>
      </c>
      <c r="X551" s="413"/>
    </row>
    <row r="552" spans="18:25">
      <c r="R552" s="97" t="s">
        <v>6955</v>
      </c>
      <c r="S552" s="93">
        <v>416108</v>
      </c>
      <c r="U552" s="93">
        <f>T241+S312+S566</f>
        <v>2393894296.4549041</v>
      </c>
      <c r="V552" s="93">
        <f>S188</f>
        <v>11064529195.5</v>
      </c>
      <c r="W552" s="93">
        <f>V552-U552</f>
        <v>8670634899.0450954</v>
      </c>
    </row>
    <row r="553" spans="18:25">
      <c r="R553" s="97" t="s">
        <v>6970</v>
      </c>
      <c r="S553" s="93">
        <v>361620.57555000001</v>
      </c>
      <c r="X553" s="94" t="s">
        <v>25</v>
      </c>
    </row>
    <row r="554" spans="18:25">
      <c r="R554" s="97" t="s">
        <v>6971</v>
      </c>
      <c r="S554" s="93">
        <v>761310.51884999999</v>
      </c>
    </row>
    <row r="555" spans="18:25">
      <c r="R555" s="97" t="s">
        <v>6974</v>
      </c>
      <c r="S555" s="93">
        <v>3047100.3041699999</v>
      </c>
      <c r="U555" s="112"/>
      <c r="W555" s="112"/>
    </row>
    <row r="556" spans="18:25">
      <c r="R556" s="97" t="s">
        <v>6977</v>
      </c>
      <c r="S556" s="93">
        <v>2437078.451072</v>
      </c>
    </row>
    <row r="557" spans="18:25">
      <c r="R557" s="97" t="s">
        <v>7059</v>
      </c>
      <c r="S557" s="93">
        <v>7747639.4065840002</v>
      </c>
      <c r="U557" s="112"/>
    </row>
    <row r="558" spans="18:25">
      <c r="R558" s="97" t="s">
        <v>7061</v>
      </c>
      <c r="S558" s="93">
        <v>5584918.3522559991</v>
      </c>
    </row>
    <row r="559" spans="18:25">
      <c r="R559" s="97" t="s">
        <v>7063</v>
      </c>
      <c r="S559" s="93">
        <v>573666.77206800005</v>
      </c>
      <c r="U559" s="112" t="s">
        <v>25</v>
      </c>
    </row>
    <row r="560" spans="18:25">
      <c r="R560" s="97" t="s">
        <v>7077</v>
      </c>
      <c r="S560" s="93">
        <v>1870018.6536539998</v>
      </c>
      <c r="U560" t="s">
        <v>25</v>
      </c>
    </row>
    <row r="561" spans="18:25">
      <c r="R561" s="97" t="s">
        <v>7088</v>
      </c>
      <c r="S561" s="93">
        <v>117222.435308</v>
      </c>
      <c r="U561" t="s">
        <v>25</v>
      </c>
      <c r="Y561" s="112"/>
    </row>
    <row r="562" spans="18:25">
      <c r="R562" s="97" t="s">
        <v>7092</v>
      </c>
      <c r="S562" s="93">
        <v>1940857.6749900002</v>
      </c>
      <c r="X562" s="94" t="s">
        <v>25</v>
      </c>
    </row>
    <row r="563" spans="18:25">
      <c r="R563" s="97"/>
      <c r="S563" s="93"/>
      <c r="U563" t="s">
        <v>25</v>
      </c>
    </row>
    <row r="564" spans="18:25">
      <c r="R564" s="97" t="s">
        <v>25</v>
      </c>
      <c r="S564" s="93"/>
      <c r="U564" t="s">
        <v>25</v>
      </c>
    </row>
    <row r="565" spans="18:25">
      <c r="R565" s="97" t="s">
        <v>25</v>
      </c>
      <c r="S565" s="97" t="s">
        <v>25</v>
      </c>
      <c r="U565" s="413" t="s">
        <v>25</v>
      </c>
      <c r="V565" s="413"/>
      <c r="W565" s="413"/>
    </row>
    <row r="566" spans="18:25">
      <c r="R566" s="97"/>
      <c r="S566" s="93">
        <f>SUM(S317:S565)</f>
        <v>2107413716.889641</v>
      </c>
      <c r="U566" s="413" t="s">
        <v>25</v>
      </c>
      <c r="V566" s="413"/>
      <c r="W566" s="413"/>
      <c r="X566" s="94" t="s">
        <v>25</v>
      </c>
    </row>
    <row r="567" spans="18:25">
      <c r="S567" s="97" t="s">
        <v>6</v>
      </c>
      <c r="U567" s="413"/>
      <c r="V567" s="413"/>
      <c r="W567" s="413"/>
      <c r="Y567" t="s">
        <v>25</v>
      </c>
    </row>
    <row r="568" spans="18:25">
      <c r="U568" s="413"/>
      <c r="V568" s="413"/>
      <c r="W568" s="413" t="s">
        <v>25</v>
      </c>
    </row>
    <row r="569" spans="18:25">
      <c r="R569" t="s">
        <v>25</v>
      </c>
      <c r="U569" s="413"/>
      <c r="V569" s="413"/>
      <c r="W569" s="413"/>
    </row>
    <row r="570" spans="18:25">
      <c r="R570" t="s">
        <v>25</v>
      </c>
      <c r="U570" s="413"/>
      <c r="V570" s="413"/>
      <c r="W570" s="413"/>
    </row>
    <row r="571" spans="18:25">
      <c r="R571" t="s">
        <v>25</v>
      </c>
      <c r="S571" t="s">
        <v>25</v>
      </c>
      <c r="U571" s="413"/>
      <c r="V571" s="413"/>
      <c r="W571" s="413"/>
    </row>
    <row r="572" spans="18:25">
      <c r="R572" t="s">
        <v>25</v>
      </c>
      <c r="S572" t="s">
        <v>25</v>
      </c>
      <c r="U572" s="413"/>
      <c r="V572" s="413"/>
      <c r="W572" s="413"/>
    </row>
    <row r="573" spans="18:25">
      <c r="R573" s="112"/>
      <c r="S573" t="s">
        <v>25</v>
      </c>
      <c r="U573" s="413"/>
      <c r="V573" s="413"/>
      <c r="W573" s="413"/>
    </row>
    <row r="574" spans="18:25">
      <c r="U574" s="413"/>
      <c r="V574" s="413"/>
      <c r="W574" s="413"/>
    </row>
    <row r="575" spans="18:25">
      <c r="S575" t="s">
        <v>25</v>
      </c>
      <c r="U575" s="413"/>
      <c r="V575" s="413"/>
      <c r="W575" s="413"/>
    </row>
    <row r="576" spans="18:25">
      <c r="R576" t="s">
        <v>25</v>
      </c>
      <c r="U576" s="413"/>
      <c r="V576" s="413"/>
      <c r="W576" s="413"/>
      <c r="Y576" t="s">
        <v>25</v>
      </c>
    </row>
    <row r="577" spans="21:24">
      <c r="U577" s="413"/>
      <c r="V577" s="413"/>
      <c r="W577" s="413"/>
    </row>
    <row r="578" spans="21:24">
      <c r="U578" s="413"/>
      <c r="V578" s="413"/>
      <c r="W578" s="413"/>
    </row>
    <row r="579" spans="21:24">
      <c r="U579" s="413"/>
      <c r="V579" s="413"/>
      <c r="W579" s="413"/>
    </row>
    <row r="581" spans="21:24">
      <c r="U581" s="94"/>
      <c r="W581" s="94"/>
    </row>
    <row r="582" spans="21:24">
      <c r="U582" s="94"/>
      <c r="W582" s="94"/>
      <c r="X582" s="112"/>
    </row>
    <row r="583" spans="21:24">
      <c r="U583" s="94"/>
      <c r="W583" s="94"/>
    </row>
    <row r="584" spans="21:24">
      <c r="U584" s="94"/>
      <c r="W584" s="94"/>
    </row>
    <row r="586" spans="21:24">
      <c r="V586"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opLeftCell="A13" zoomScale="80" zoomScaleNormal="80" workbookViewId="0">
      <selection activeCell="R34" sqref="R3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3" si="0">C1*D1*0.99114/(F1*1.0037158)</f>
        <v>4102.0133326251707</v>
      </c>
      <c r="H1" s="383">
        <f t="shared" ref="H1:H39" si="1">C1/F1</f>
        <v>1.2452219935313142</v>
      </c>
      <c r="I1" s="384">
        <f>$R$31/$R$32</f>
        <v>1.1532033426183843</v>
      </c>
      <c r="J1" s="394">
        <f t="shared" ref="J1:J39" si="2">I1/H1</f>
        <v>0.92610261351714884</v>
      </c>
      <c r="K1" s="32">
        <f t="shared" ref="K1:K40" si="3">(1/J1-1.0256)*100</f>
        <v>5.4193950912419853</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1.1532033426183843</v>
      </c>
      <c r="J2" s="394">
        <f>I2/H2</f>
        <v>0.87447828243390069</v>
      </c>
      <c r="K2" s="32">
        <f t="shared" si="3"/>
        <v>11.793897642459417</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1.1532033426183843</v>
      </c>
      <c r="J3" s="394">
        <f t="shared" si="2"/>
        <v>0.86637684875467647</v>
      </c>
      <c r="K3" s="32">
        <f t="shared" si="3"/>
        <v>12.86321351700388</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14.187799862919809</v>
      </c>
      <c r="J4" s="32">
        <f t="shared" si="2"/>
        <v>0.89111612535435658</v>
      </c>
      <c r="K4" s="32">
        <f t="shared" si="3"/>
        <v>9.658819921179763</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14.187799862919809</v>
      </c>
      <c r="J5" s="32">
        <f t="shared" si="2"/>
        <v>0.87789805463446779</v>
      </c>
      <c r="K5" s="32">
        <f t="shared" si="3"/>
        <v>11.348442412071647</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14.187799862919809</v>
      </c>
      <c r="J6" s="32">
        <f t="shared" si="2"/>
        <v>0.87057002412833695</v>
      </c>
      <c r="K6" s="32">
        <f t="shared" si="3"/>
        <v>12.307267684900536</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14.187799862919809</v>
      </c>
      <c r="J7" s="32">
        <f t="shared" ref="J7:J9" si="7">I7/H7</f>
        <v>0.86765494517211483</v>
      </c>
      <c r="K7" s="32">
        <f t="shared" ref="K7:K9" si="8">(1/J7-1.0256)*100</f>
        <v>12.69318971145057</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14.187799862919809</v>
      </c>
      <c r="J8" s="32">
        <f t="shared" si="7"/>
        <v>0.93775453502849859</v>
      </c>
      <c r="K8" s="32">
        <f t="shared" si="8"/>
        <v>4.0777140974967097</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14.187799862919809</v>
      </c>
      <c r="J9" s="32">
        <f t="shared" si="7"/>
        <v>0.88202116845768352</v>
      </c>
      <c r="K9" s="32">
        <f t="shared" si="8"/>
        <v>10.815963725294274</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14.187799862919809</v>
      </c>
      <c r="J10" s="32">
        <f>I10/H10</f>
        <v>0.86827882398834533</v>
      </c>
      <c r="K10" s="32">
        <f t="shared" ref="K10" si="10">(1/J10-1.0256)*100</f>
        <v>12.610377576019594</v>
      </c>
      <c r="L10" s="32"/>
      <c r="M10" s="32"/>
      <c r="N10" s="396">
        <f t="shared" ref="N10" si="11">H10/H9</f>
        <v>1.015827110013134</v>
      </c>
      <c r="O10" s="40"/>
      <c r="P10" s="191" t="s">
        <v>25</v>
      </c>
      <c r="Q10" s="349" t="s">
        <v>7116</v>
      </c>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12.302947224126115</v>
      </c>
      <c r="J11" s="394">
        <f>I11/H11</f>
        <v>1.1935541893275501</v>
      </c>
      <c r="K11" s="394">
        <f>(1/J11-1.0256)*100</f>
        <v>-18.776623514731138</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12.302947224126115</v>
      </c>
      <c r="J12" s="394">
        <f t="shared" si="2"/>
        <v>1.1834539866873333</v>
      </c>
      <c r="K12" s="394">
        <f t="shared" si="3"/>
        <v>-18.061573255150275</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12.302947224126115</v>
      </c>
      <c r="J13" s="394">
        <f t="shared" si="2"/>
        <v>1.1720546925948985</v>
      </c>
      <c r="K13" s="394">
        <f t="shared" si="3"/>
        <v>-17.239749476022659</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12.302947224126115</v>
      </c>
      <c r="J14" s="394">
        <f t="shared" si="2"/>
        <v>1.1567797477869017</v>
      </c>
      <c r="K14" s="394">
        <f t="shared" si="3"/>
        <v>-16.113120037487317</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12.302947224126115</v>
      </c>
      <c r="J15" s="394">
        <f t="shared" si="2"/>
        <v>1.1662224808515169</v>
      </c>
      <c r="K15" s="394">
        <f t="shared" si="3"/>
        <v>-16.813067796305013</v>
      </c>
      <c r="L15" s="394"/>
      <c r="M15" s="394" t="s">
        <v>25</v>
      </c>
      <c r="N15" s="394">
        <f t="shared" si="13"/>
        <v>0.99190314608090857</v>
      </c>
      <c r="O15" s="40"/>
      <c r="P15" s="40"/>
      <c r="Q15" s="97">
        <v>27257.532999999999</v>
      </c>
      <c r="R15" s="97">
        <v>91407</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12.302947224126115</v>
      </c>
      <c r="J16" s="394">
        <f t="shared" si="2"/>
        <v>1.1372110923576297</v>
      </c>
      <c r="K16" s="394">
        <f t="shared" si="3"/>
        <v>-14.625578086577418</v>
      </c>
      <c r="L16" s="394"/>
      <c r="M16" s="394"/>
      <c r="N16" s="394">
        <f t="shared" si="13"/>
        <v>1.0255109967611571</v>
      </c>
      <c r="O16" s="40"/>
      <c r="P16" s="40"/>
      <c r="Q16" s="97">
        <f>Q15*R16/R15</f>
        <v>14136.749558906868</v>
      </c>
      <c r="R16" s="97">
        <v>47407</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12.302947224126115</v>
      </c>
      <c r="J17" s="394">
        <f t="shared" si="2"/>
        <v>1.1153239492264548</v>
      </c>
      <c r="K17" s="394">
        <f t="shared" si="3"/>
        <v>-12.899950944874728</v>
      </c>
      <c r="L17" s="394"/>
      <c r="M17" s="394"/>
      <c r="N17" s="394">
        <f t="shared" si="13"/>
        <v>1.019624023268177</v>
      </c>
      <c r="O17" s="40"/>
      <c r="P17" s="40"/>
      <c r="Q17" s="97">
        <f>Q15-Q16</f>
        <v>13120.783441093132</v>
      </c>
      <c r="R17" s="97">
        <f>R15-R16</f>
        <v>44000</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12.302947224126115</v>
      </c>
      <c r="J18" s="394">
        <f t="shared" si="2"/>
        <v>1.0944306609676571</v>
      </c>
      <c r="K18" s="394">
        <f t="shared" si="3"/>
        <v>-11.18829088543306</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12.302947224126115</v>
      </c>
      <c r="J19" s="394">
        <f t="shared" si="2"/>
        <v>1.0861486481480989</v>
      </c>
      <c r="K19" s="394">
        <f t="shared" si="3"/>
        <v>-10.491570719623301</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12.302947224126115</v>
      </c>
      <c r="J20" s="394">
        <f>I20/H20</f>
        <v>1.0661619031169725</v>
      </c>
      <c r="K20" s="394">
        <f t="shared" si="3"/>
        <v>-8.7656150124615468</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12.302947224126115</v>
      </c>
      <c r="J21" s="394">
        <f t="shared" si="2"/>
        <v>1.0001658212884101</v>
      </c>
      <c r="K21" s="394">
        <f t="shared" si="3"/>
        <v>-2.576579379626931</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12.302947224126115</v>
      </c>
      <c r="J22" s="394">
        <f>I22/H22</f>
        <v>1.002745328054877</v>
      </c>
      <c r="K22" s="394">
        <f t="shared" ref="K22" si="14">(1/J22-1.0256)*100</f>
        <v>-2.8337811863160201</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12.302947224126115</v>
      </c>
      <c r="J23" s="394">
        <f t="shared" ref="J23" si="15">I23/H23</f>
        <v>0.98919358777143362</v>
      </c>
      <c r="K23" s="394">
        <f t="shared" ref="K23" si="16">(1/J23-1.0256)*100</f>
        <v>-1.4675533482872538</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12.302947224126115</v>
      </c>
      <c r="J24" s="394">
        <f t="shared" ref="J24:J25" si="18">I24/H24</f>
        <v>0.97971755110616421</v>
      </c>
      <c r="K24" s="394">
        <f t="shared" ref="K24:K25" si="19">(1/J24-1.0256)*100</f>
        <v>-0.48976568900540585</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12.302947224126115</v>
      </c>
      <c r="J25" s="394">
        <f t="shared" si="18"/>
        <v>0.98013262454141825</v>
      </c>
      <c r="K25" s="394">
        <f t="shared" si="19"/>
        <v>-0.53299110741495959</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38" si="21">C26*D26*0.99114/(F26*1.0037158)</f>
        <v>31564.390507451786</v>
      </c>
      <c r="H26" s="390">
        <f t="shared" ref="H26:H38" si="22">C26/F26</f>
        <v>2.6931406489910223</v>
      </c>
      <c r="I26" s="391">
        <f t="shared" ref="I26:I38" si="23">$R$28/$R$29</f>
        <v>3.1925601750547048</v>
      </c>
      <c r="J26" s="394">
        <f>I26/H26</f>
        <v>1.1854413085520761</v>
      </c>
      <c r="K26" s="394">
        <f>(1/J26-1.0256)*100</f>
        <v>-18.203229843118784</v>
      </c>
      <c r="L26" s="394"/>
      <c r="M26" s="394"/>
      <c r="N26" s="394">
        <f>1</f>
        <v>1</v>
      </c>
      <c r="O26" s="399">
        <f t="shared" ref="O26:O28" si="24">F26-C26</f>
        <v>-757.56700000000001</v>
      </c>
      <c r="P26" s="399">
        <f>R29-R28</f>
        <v>-1002</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3.1925601750547048</v>
      </c>
      <c r="J27" s="394">
        <f t="shared" ref="J27" si="25">I27/H27</f>
        <v>1.1745050989148396</v>
      </c>
      <c r="K27" s="394">
        <f>(1/J27-1.0256)*100</f>
        <v>-17.417755753982689</v>
      </c>
      <c r="L27" s="394"/>
      <c r="M27" s="394"/>
      <c r="N27" s="394">
        <f>H27/H26</f>
        <v>1.0093113343205924</v>
      </c>
      <c r="O27" s="399">
        <f t="shared" si="24"/>
        <v>-774.33699999999999</v>
      </c>
      <c r="P27" s="399"/>
      <c r="Q27" s="67" t="s">
        <v>5846</v>
      </c>
      <c r="R27" s="302">
        <v>3339</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3.1925601750547048</v>
      </c>
      <c r="J28" s="394">
        <f t="shared" ref="J28" si="26">I28/H28</f>
        <v>1.1492110832722509</v>
      </c>
      <c r="K28" s="394">
        <f t="shared" ref="K28" si="27">(1/J28-1.0256)*100</f>
        <v>-15.543783870878524</v>
      </c>
      <c r="L28" s="394"/>
      <c r="M28" s="394"/>
      <c r="N28" s="394">
        <f t="shared" ref="N28" si="28">H28/H27</f>
        <v>1.0220098953192887</v>
      </c>
      <c r="O28" s="399">
        <f t="shared" si="24"/>
        <v>-831.53300000000013</v>
      </c>
      <c r="P28" s="40"/>
      <c r="Q28" s="97" t="s">
        <v>4216</v>
      </c>
      <c r="R28" s="278">
        <v>1459</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3.1925601750547048</v>
      </c>
      <c r="J29" s="394">
        <f t="shared" ref="J29" si="29">I29/H29</f>
        <v>1.1290800498577764</v>
      </c>
      <c r="K29" s="394">
        <f t="shared" ref="K29" si="30">(1/J29-1.0256)*100</f>
        <v>-13.99232048728839</v>
      </c>
      <c r="L29" s="394"/>
      <c r="M29" s="394"/>
      <c r="N29" s="394">
        <f t="shared" ref="N29" si="31">H29/H28</f>
        <v>1.0178295891571285</v>
      </c>
      <c r="O29" s="399">
        <f t="shared" ref="O29" si="32">F29-C29</f>
        <v>-844.76670000000001</v>
      </c>
      <c r="P29" s="40"/>
      <c r="Q29" s="97" t="s">
        <v>5262</v>
      </c>
      <c r="R29" s="288">
        <v>457</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3.1925601750547048</v>
      </c>
      <c r="J30" s="394">
        <f t="shared" ref="J30" si="33">I30/H30</f>
        <v>1.1275218746684028</v>
      </c>
      <c r="K30" s="394">
        <f t="shared" ref="K30:K31" si="34">(1/J30-1.0256)*100</f>
        <v>-13.869924670499746</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3.1925601750547048</v>
      </c>
      <c r="J31" s="394">
        <f>I31/H31</f>
        <v>1.1242741824081932</v>
      </c>
      <c r="K31" s="394">
        <f t="shared" si="34"/>
        <v>-13.613725537128163</v>
      </c>
      <c r="L31" s="394"/>
      <c r="M31" s="394"/>
      <c r="N31" s="394">
        <f t="shared" si="35"/>
        <v>1.0028887012714756</v>
      </c>
      <c r="O31" s="399">
        <f>F31-C31</f>
        <v>-952.33299999999997</v>
      </c>
      <c r="P31" s="40"/>
      <c r="Q31" s="97" t="s">
        <v>4358</v>
      </c>
      <c r="R31" s="277">
        <v>20700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3.1925601750547048</v>
      </c>
      <c r="J32" s="394">
        <f t="shared" ref="J32:J33" si="36">I32/H32</f>
        <v>1.1076513344619494</v>
      </c>
      <c r="K32" s="394">
        <f t="shared" ref="K32:K33" si="37">(1/J32-1.0256)*100</f>
        <v>-12.278882748806685</v>
      </c>
      <c r="L32" s="394"/>
      <c r="M32" s="394"/>
      <c r="N32" s="394">
        <f t="shared" ref="N32:N33" si="38">H32/H31</f>
        <v>1.0150072928448359</v>
      </c>
      <c r="O32" s="399">
        <f t="shared" ref="O32:O36" si="39">F32-C32</f>
        <v>-964.28399999999988</v>
      </c>
      <c r="P32" s="40"/>
      <c r="Q32" s="97" t="s">
        <v>4354</v>
      </c>
      <c r="R32" s="287">
        <v>17950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3.1925601750547048</v>
      </c>
      <c r="J33" s="394">
        <f t="shared" si="36"/>
        <v>1.0875775492341357</v>
      </c>
      <c r="K33" s="394">
        <f t="shared" si="37"/>
        <v>-10.612533752265051</v>
      </c>
      <c r="L33" s="394"/>
      <c r="M33" s="394"/>
      <c r="N33" s="394">
        <f t="shared" si="38"/>
        <v>1.0184573368969867</v>
      </c>
      <c r="O33" s="399">
        <f t="shared" si="39"/>
        <v>-989.01</v>
      </c>
      <c r="P33" s="40"/>
      <c r="Q33" s="97" t="s">
        <v>4653</v>
      </c>
      <c r="R33" s="436">
        <v>823</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3.1925601750547048</v>
      </c>
      <c r="J34" s="394">
        <f t="shared" ref="J34" si="40">I34/H34</f>
        <v>1.0668453027419196</v>
      </c>
      <c r="K34" s="394">
        <f t="shared" ref="K34" si="41">(1/J34-1.0256)*100</f>
        <v>-8.8256978073690036</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3.1925601750547048</v>
      </c>
      <c r="J35" s="394">
        <f t="shared" ref="J35" si="43">I35/H35</f>
        <v>1.0656884145730057</v>
      </c>
      <c r="K35" s="394">
        <f t="shared" ref="K35" si="44">(1/J35-1.0256)*100</f>
        <v>-8.7239418872096302</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3.1925601750547048</v>
      </c>
      <c r="J36" s="394">
        <f>I36/H36</f>
        <v>1.0202338053755007</v>
      </c>
      <c r="K36" s="394">
        <f t="shared" ref="K36" si="46">(1/J36-1.0256)*100</f>
        <v>-4.5432518064870031</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3.1925601750547048</v>
      </c>
      <c r="J37" s="394">
        <f t="shared" ref="J37" si="48">I37/H37</f>
        <v>0.99027765917702937</v>
      </c>
      <c r="K37" s="394">
        <f t="shared" ref="K37" si="49">(1/J37-1.0256)*100</f>
        <v>-1.5782207249782632</v>
      </c>
      <c r="L37" s="394"/>
      <c r="M37" s="394"/>
      <c r="N37" s="394">
        <f t="shared" ref="N37" si="50">H37/H36</f>
        <v>1.0302502494334431</v>
      </c>
      <c r="O37" s="399">
        <f t="shared" ref="O37" si="51">F37-C37</f>
        <v>-961.60500000000002</v>
      </c>
      <c r="P37" s="40"/>
    </row>
    <row r="38" spans="1:25" ht="18.75">
      <c r="A38" s="398" t="s">
        <v>7117</v>
      </c>
      <c r="B38" s="388" t="s">
        <v>4216</v>
      </c>
      <c r="C38" s="385">
        <v>1480</v>
      </c>
      <c r="D38" s="388">
        <v>5641</v>
      </c>
      <c r="E38" s="390" t="s">
        <v>5262</v>
      </c>
      <c r="F38" s="389">
        <v>450</v>
      </c>
      <c r="G38" s="390">
        <f t="shared" si="21"/>
        <v>18320.171894607352</v>
      </c>
      <c r="H38" s="411">
        <f t="shared" si="22"/>
        <v>3.2888888888888888</v>
      </c>
      <c r="I38" s="391">
        <f t="shared" si="23"/>
        <v>3.1925601750547048</v>
      </c>
      <c r="J38" s="290">
        <f t="shared" ref="J38" si="52">I38/H38</f>
        <v>0.97071086403690354</v>
      </c>
      <c r="K38" s="394">
        <f t="shared" ref="K38" si="53">(1/J38-1.0256)*100</f>
        <v>0.45728733531336108</v>
      </c>
      <c r="L38" s="394"/>
      <c r="M38" s="394"/>
      <c r="N38" s="394">
        <f t="shared" ref="N38" si="54">H38/H37</f>
        <v>1.0201571815718156</v>
      </c>
      <c r="O38" s="399">
        <f t="shared" ref="O38" si="55">F38-C38</f>
        <v>-1030</v>
      </c>
      <c r="P38" s="40"/>
    </row>
    <row r="39" spans="1:25">
      <c r="A39" s="383" t="s">
        <v>5760</v>
      </c>
      <c r="B39" s="383" t="s">
        <v>4354</v>
      </c>
      <c r="C39" s="382">
        <v>11624</v>
      </c>
      <c r="D39" s="383">
        <v>8930</v>
      </c>
      <c r="E39" s="390" t="s">
        <v>6973</v>
      </c>
      <c r="F39" s="389">
        <v>394</v>
      </c>
      <c r="G39" s="390">
        <f t="shared" si="0"/>
        <v>260156.73964975364</v>
      </c>
      <c r="H39" s="390">
        <f t="shared" si="1"/>
        <v>29.502538071065988</v>
      </c>
      <c r="I39" s="390">
        <f>$R$32/$R$29</f>
        <v>39.27789934354486</v>
      </c>
      <c r="J39" s="32">
        <f t="shared" si="2"/>
        <v>1.3313396714862935</v>
      </c>
      <c r="K39" s="32">
        <f t="shared" si="3"/>
        <v>-27.447688587870999</v>
      </c>
      <c r="L39" s="32"/>
      <c r="M39" s="32"/>
      <c r="N39" s="394">
        <v>1</v>
      </c>
      <c r="O39" s="40"/>
      <c r="P39" s="399" t="s">
        <v>25</v>
      </c>
    </row>
    <row r="40" spans="1:25" ht="21">
      <c r="A40" s="383" t="s">
        <v>5761</v>
      </c>
      <c r="B40" s="383" t="s">
        <v>4354</v>
      </c>
      <c r="C40" s="382">
        <v>11612</v>
      </c>
      <c r="D40" s="383">
        <v>352</v>
      </c>
      <c r="E40" s="390" t="s">
        <v>6973</v>
      </c>
      <c r="F40" s="389">
        <v>389</v>
      </c>
      <c r="G40" s="390">
        <f t="shared" si="0"/>
        <v>10375.865470549827</v>
      </c>
      <c r="H40" s="390">
        <f t="shared" ref="H40:H44" si="56">C40/F40</f>
        <v>29.85089974293059</v>
      </c>
      <c r="I40" s="390">
        <f>$R$32/$R$29</f>
        <v>39.27789934354486</v>
      </c>
      <c r="J40" s="32">
        <f t="shared" ref="J40" si="57">I40/H40</f>
        <v>1.3158028629554728</v>
      </c>
      <c r="K40" s="400">
        <f t="shared" si="3"/>
        <v>-26.56077335643856</v>
      </c>
      <c r="L40" s="32" t="s">
        <v>25</v>
      </c>
      <c r="M40" s="32" t="s">
        <v>25</v>
      </c>
      <c r="N40" s="32">
        <f>H40/H39</f>
        <v>1.0118078543285145</v>
      </c>
      <c r="O40" s="40"/>
      <c r="P40" s="40" t="s">
        <v>25</v>
      </c>
    </row>
    <row r="41" spans="1:25" ht="18.75" customHeight="1">
      <c r="A41" s="401" t="s">
        <v>6613</v>
      </c>
      <c r="B41" s="401" t="s">
        <v>5846</v>
      </c>
      <c r="C41" s="392">
        <v>3112</v>
      </c>
      <c r="D41" s="401">
        <v>200</v>
      </c>
      <c r="E41" s="388" t="s">
        <v>4216</v>
      </c>
      <c r="F41" s="388">
        <v>1613</v>
      </c>
      <c r="G41" s="388">
        <f t="shared" si="0"/>
        <v>381.03025333950779</v>
      </c>
      <c r="H41" s="388">
        <f t="shared" ref="H41:H43" si="58">C41/F41</f>
        <v>1.9293242405455673</v>
      </c>
      <c r="I41" s="388">
        <f>$R$27/$R$28</f>
        <v>2.2885538039753257</v>
      </c>
      <c r="J41" s="32">
        <f t="shared" ref="J41:J44" si="59">I41/H41</f>
        <v>1.1861945005823267</v>
      </c>
      <c r="K41" s="400">
        <f t="shared" ref="K41:K44" si="60">(1/J41-1.0256)*100</f>
        <v>-18.256793442468343</v>
      </c>
      <c r="L41" s="32" t="s">
        <v>25</v>
      </c>
      <c r="M41" s="32" t="s">
        <v>25</v>
      </c>
      <c r="N41" s="32">
        <v>1</v>
      </c>
      <c r="O41" s="40"/>
      <c r="P41" s="40" t="s">
        <v>25</v>
      </c>
    </row>
    <row r="42" spans="1:25" ht="21.75" customHeight="1">
      <c r="A42" s="401" t="s">
        <v>6613</v>
      </c>
      <c r="B42" s="401" t="s">
        <v>5846</v>
      </c>
      <c r="C42" s="392">
        <v>3178</v>
      </c>
      <c r="D42" s="401">
        <v>6860</v>
      </c>
      <c r="E42" s="390" t="s">
        <v>5262</v>
      </c>
      <c r="F42" s="390">
        <v>568.29999999999995</v>
      </c>
      <c r="G42" s="390">
        <f t="shared" si="0"/>
        <v>37881.275651587544</v>
      </c>
      <c r="H42" s="390">
        <f t="shared" si="58"/>
        <v>5.5921168396973435</v>
      </c>
      <c r="I42" s="390">
        <f>$R$27/$R$29</f>
        <v>7.3063457330415753</v>
      </c>
      <c r="J42" s="32">
        <f t="shared" si="59"/>
        <v>1.3065438263333942</v>
      </c>
      <c r="K42" s="400">
        <f t="shared" si="60"/>
        <v>-26.022192400668288</v>
      </c>
      <c r="L42" s="32" t="s">
        <v>25</v>
      </c>
      <c r="M42" s="32" t="s">
        <v>25</v>
      </c>
      <c r="N42" s="32">
        <v>1</v>
      </c>
      <c r="O42" s="40"/>
      <c r="P42" s="40" t="s">
        <v>25</v>
      </c>
    </row>
    <row r="43" spans="1:25" ht="21">
      <c r="A43" s="388" t="s">
        <v>7069</v>
      </c>
      <c r="B43" s="388" t="s">
        <v>4216</v>
      </c>
      <c r="C43" s="385">
        <v>1480</v>
      </c>
      <c r="D43" s="388">
        <v>1</v>
      </c>
      <c r="E43" s="435" t="s">
        <v>4653</v>
      </c>
      <c r="F43" s="435">
        <v>776</v>
      </c>
      <c r="G43" s="435">
        <f t="shared" si="0"/>
        <v>1.8833205143338694</v>
      </c>
      <c r="H43" s="435">
        <f t="shared" si="58"/>
        <v>1.9072164948453609</v>
      </c>
      <c r="I43" s="435">
        <f>$R$28/$R$33</f>
        <v>1.7727825030376672</v>
      </c>
      <c r="J43" s="32">
        <f t="shared" si="59"/>
        <v>0.92951298807920923</v>
      </c>
      <c r="K43" s="400">
        <f t="shared" si="60"/>
        <v>5.0232196886724978</v>
      </c>
      <c r="L43" s="32" t="s">
        <v>25</v>
      </c>
      <c r="M43" s="32" t="s">
        <v>25</v>
      </c>
      <c r="N43" s="32">
        <v>1</v>
      </c>
      <c r="O43" s="40"/>
      <c r="P43" s="40"/>
      <c r="S43" s="470"/>
      <c r="T43" s="470"/>
    </row>
    <row r="44" spans="1:25" ht="18.75" customHeight="1">
      <c r="A44" s="388" t="s">
        <v>6923</v>
      </c>
      <c r="B44" s="388" t="s">
        <v>4216</v>
      </c>
      <c r="C44" s="385">
        <v>1538.5</v>
      </c>
      <c r="D44" s="388">
        <v>1</v>
      </c>
      <c r="E44" s="402" t="s">
        <v>5791</v>
      </c>
      <c r="F44" s="402">
        <v>1353</v>
      </c>
      <c r="G44" s="402">
        <f>C44*D44*0.99114/(F44*1.0037158)</f>
        <v>1.1228556972348047</v>
      </c>
      <c r="H44" s="402">
        <f t="shared" si="56"/>
        <v>1.1371027346637104</v>
      </c>
      <c r="I44" s="402">
        <f>$R$28/$R$30</f>
        <v>0.97591973244147157</v>
      </c>
      <c r="J44" s="32">
        <f t="shared" si="59"/>
        <v>0.85825115241684169</v>
      </c>
      <c r="K44" s="32">
        <f t="shared" si="60"/>
        <v>13.956010166021038</v>
      </c>
      <c r="L44" s="32"/>
      <c r="M44" s="32"/>
      <c r="N44" s="32">
        <v>1</v>
      </c>
      <c r="O44" s="399">
        <f>F44-C44</f>
        <v>-185.5</v>
      </c>
      <c r="P44" s="399">
        <f>R30-R28</f>
        <v>36</v>
      </c>
      <c r="Q44" s="473"/>
      <c r="R44" s="473"/>
      <c r="S44" s="473"/>
      <c r="T44" s="473"/>
      <c r="X44" s="483"/>
    </row>
    <row r="45" spans="1:25" ht="20.25" customHeight="1">
      <c r="A45" s="94"/>
      <c r="B45" s="113"/>
      <c r="C45" s="113"/>
      <c r="D45" s="94"/>
      <c r="E45" s="94"/>
      <c r="F45" s="94"/>
      <c r="G45" s="94"/>
      <c r="H45" s="94"/>
      <c r="I45" s="94"/>
      <c r="J45" s="94"/>
      <c r="K45" s="94"/>
      <c r="L45" s="94"/>
      <c r="M45" s="94"/>
      <c r="N45" s="94"/>
      <c r="Q45" s="473"/>
      <c r="R45" s="473"/>
      <c r="S45" s="473"/>
      <c r="T45" s="473"/>
      <c r="X45" s="483"/>
    </row>
    <row r="46" spans="1:25">
      <c r="A46" s="461" t="s">
        <v>7058</v>
      </c>
      <c r="B46" s="347" t="s">
        <v>1068</v>
      </c>
      <c r="C46" s="44">
        <v>11500000</v>
      </c>
      <c r="D46" s="347">
        <v>1</v>
      </c>
      <c r="E46" s="273" t="s">
        <v>4216</v>
      </c>
      <c r="F46" s="274">
        <v>1349.5</v>
      </c>
      <c r="G46" s="273">
        <f>C46*D46*0.99875/(F46*1.0037158)</f>
        <v>8479.5144212767409</v>
      </c>
      <c r="H46" s="462">
        <f>C46/F46</f>
        <v>8521.6746943312337</v>
      </c>
      <c r="I46" s="463">
        <f>$R$34/$R$28</f>
        <v>8841.672378341329</v>
      </c>
      <c r="J46" s="20">
        <f>I46/H46</f>
        <v>1.0375510325714454</v>
      </c>
      <c r="K46" s="20">
        <f>(1/J46-1.0153)*100</f>
        <v>-5.1491986121761979</v>
      </c>
      <c r="L46" s="20"/>
      <c r="M46" s="20"/>
      <c r="N46" s="20">
        <f>1</f>
        <v>1</v>
      </c>
      <c r="O46" s="467"/>
      <c r="P46" s="467"/>
      <c r="Q46" s="473"/>
      <c r="R46" s="473"/>
      <c r="S46" s="473"/>
      <c r="T46" s="473"/>
    </row>
    <row r="47" spans="1:25" ht="30">
      <c r="A47" s="461" t="s">
        <v>7057</v>
      </c>
      <c r="B47" s="347" t="s">
        <v>1068</v>
      </c>
      <c r="C47" s="44">
        <v>12700000</v>
      </c>
      <c r="D47" s="347">
        <v>1</v>
      </c>
      <c r="E47" s="273" t="s">
        <v>4216</v>
      </c>
      <c r="F47" s="274">
        <v>1386</v>
      </c>
      <c r="G47" s="273">
        <f>C47*D47*0.99875/(F47*1.0037158)</f>
        <v>9117.725693971679</v>
      </c>
      <c r="H47" s="462">
        <f>C47/F47</f>
        <v>9163.0591630591625</v>
      </c>
      <c r="I47" s="463">
        <f>$R$34/$R$28</f>
        <v>8841.672378341329</v>
      </c>
      <c r="J47" s="20">
        <f t="shared" ref="J47:J48" si="61">I47/H47</f>
        <v>0.96492582018748685</v>
      </c>
      <c r="K47" s="20">
        <f t="shared" ref="K47:K48" si="62">(1/J47-1.0153)*100</f>
        <v>2.1049094488629239</v>
      </c>
      <c r="L47" s="261" t="s">
        <v>7090</v>
      </c>
      <c r="M47" s="20"/>
      <c r="N47" s="20">
        <f>1</f>
        <v>1</v>
      </c>
      <c r="O47" s="467"/>
      <c r="P47" s="467"/>
      <c r="Q47" s="439"/>
      <c r="T47" t="s">
        <v>25</v>
      </c>
    </row>
    <row r="48" spans="1:25">
      <c r="A48" s="461"/>
      <c r="B48" s="347"/>
      <c r="C48" s="44"/>
      <c r="D48" s="347"/>
      <c r="E48" s="273" t="s">
        <v>4216</v>
      </c>
      <c r="F48" s="274">
        <v>0</v>
      </c>
      <c r="G48" s="273" t="e">
        <f>C48*D48*0.99875/(F48*1.0037158)</f>
        <v>#DIV/0!</v>
      </c>
      <c r="H48" s="462" t="e">
        <f t="shared" ref="H48" si="63">C48/F48</f>
        <v>#DIV/0!</v>
      </c>
      <c r="I48" s="463">
        <f>$R$34/$R$28</f>
        <v>8841.672378341329</v>
      </c>
      <c r="J48" s="20" t="e">
        <f t="shared" si="61"/>
        <v>#DIV/0!</v>
      </c>
      <c r="K48" s="20" t="e">
        <f t="shared" si="62"/>
        <v>#DIV/0!</v>
      </c>
      <c r="L48" s="20"/>
      <c r="M48" s="20"/>
      <c r="N48" s="20">
        <f>1</f>
        <v>1</v>
      </c>
      <c r="O48" s="467"/>
      <c r="P48" s="467"/>
      <c r="Q48" s="439"/>
    </row>
    <row r="49" spans="1:23">
      <c r="A49" s="94"/>
      <c r="B49" s="94"/>
      <c r="C49" s="94"/>
      <c r="D49" s="94"/>
      <c r="E49" s="94"/>
      <c r="F49" s="94" t="s">
        <v>25</v>
      </c>
      <c r="G49" s="94"/>
      <c r="H49" s="94"/>
      <c r="I49" s="94"/>
      <c r="J49" s="94"/>
      <c r="K49" s="94"/>
      <c r="L49" s="94"/>
      <c r="M49" s="94"/>
      <c r="N49" s="94"/>
      <c r="Q49" s="439" t="s">
        <v>25</v>
      </c>
      <c r="S49" t="s">
        <v>25</v>
      </c>
    </row>
    <row r="50" spans="1:23">
      <c r="A50" s="113"/>
      <c r="B50" s="113"/>
      <c r="C50" s="113"/>
      <c r="D50" s="113"/>
      <c r="E50" s="113"/>
      <c r="F50" s="113"/>
      <c r="G50" s="113"/>
      <c r="H50" s="113"/>
      <c r="I50" s="113"/>
      <c r="J50" s="113"/>
      <c r="K50" s="113"/>
      <c r="L50" s="113"/>
      <c r="M50" s="113"/>
      <c r="N50" s="113"/>
      <c r="Q50" s="439"/>
    </row>
    <row r="51" spans="1:23">
      <c r="A51" s="97" t="s">
        <v>5509</v>
      </c>
      <c r="B51" s="97"/>
      <c r="C51" s="97" t="s">
        <v>933</v>
      </c>
      <c r="D51" s="97" t="s">
        <v>6481</v>
      </c>
      <c r="E51" s="97"/>
      <c r="F51" s="97" t="s">
        <v>933</v>
      </c>
      <c r="G51" s="97" t="s">
        <v>6482</v>
      </c>
      <c r="H51" s="97"/>
      <c r="I51" s="97"/>
      <c r="J51" s="97"/>
      <c r="K51" s="97"/>
      <c r="L51" s="97" t="s">
        <v>936</v>
      </c>
      <c r="M51" s="97" t="s">
        <v>5</v>
      </c>
      <c r="N51" s="97" t="s">
        <v>6483</v>
      </c>
      <c r="P51" t="s">
        <v>6484</v>
      </c>
      <c r="Q51" s="439"/>
      <c r="R51" t="s">
        <v>25</v>
      </c>
    </row>
    <row r="52" spans="1:23">
      <c r="A52" s="97" t="s">
        <v>5499</v>
      </c>
      <c r="B52" s="97" t="s">
        <v>6480</v>
      </c>
      <c r="C52" s="97">
        <v>17800</v>
      </c>
      <c r="D52" s="97">
        <v>916</v>
      </c>
      <c r="E52" s="97" t="s">
        <v>4354</v>
      </c>
      <c r="F52" s="97">
        <v>16472</v>
      </c>
      <c r="G52" s="97">
        <v>916</v>
      </c>
      <c r="H52" s="97"/>
      <c r="I52" s="97"/>
      <c r="J52" s="97"/>
      <c r="K52" s="97"/>
      <c r="L52" s="93">
        <v>987467</v>
      </c>
      <c r="M52" s="93">
        <f>L52/2</f>
        <v>493733.5</v>
      </c>
      <c r="N52" s="97" t="s">
        <v>5499</v>
      </c>
      <c r="P52">
        <v>1086</v>
      </c>
      <c r="Q52" s="439"/>
      <c r="W52" t="s">
        <v>25</v>
      </c>
    </row>
    <row r="53" spans="1:23" ht="25.5" customHeight="1">
      <c r="A53" s="271" t="s">
        <v>5721</v>
      </c>
      <c r="B53" s="339" t="s">
        <v>6559</v>
      </c>
      <c r="C53" s="271">
        <v>21532</v>
      </c>
      <c r="D53" s="271">
        <v>1859</v>
      </c>
      <c r="E53" s="273" t="s">
        <v>6487</v>
      </c>
      <c r="F53" s="273">
        <v>1187</v>
      </c>
      <c r="G53" s="273">
        <f t="shared" ref="G53:G59" si="64">C53*D53*0.99114/(F53*1.0037158)</f>
        <v>33299.467209851166</v>
      </c>
      <c r="H53" s="273">
        <f t="shared" ref="H53:H59" si="65">C53/F53</f>
        <v>18.139848357203032</v>
      </c>
      <c r="I53" s="273">
        <f t="shared" ref="I53:I58" si="66">$R$31/$R$28</f>
        <v>14.187799862919809</v>
      </c>
      <c r="J53" s="97">
        <f t="shared" ref="J53:J59" si="67">I53/H53</f>
        <v>0.78213442491574459</v>
      </c>
      <c r="K53" s="97">
        <f t="shared" ref="K53:K59" si="68">(1/J53-1.0256)*100</f>
        <v>25.295259677097693</v>
      </c>
      <c r="L53" s="93">
        <v>1600000</v>
      </c>
      <c r="M53" s="93">
        <f t="shared" ref="M53:M62" si="69">L53/2</f>
        <v>800000</v>
      </c>
      <c r="N53" s="97" t="s">
        <v>6478</v>
      </c>
      <c r="Q53" s="439" t="s">
        <v>25</v>
      </c>
    </row>
    <row r="54" spans="1:23">
      <c r="A54" s="271" t="s">
        <v>5726</v>
      </c>
      <c r="B54" s="271" t="s">
        <v>6486</v>
      </c>
      <c r="C54" s="271">
        <v>22420.1</v>
      </c>
      <c r="D54" s="286">
        <v>1000</v>
      </c>
      <c r="E54" s="273" t="s">
        <v>6488</v>
      </c>
      <c r="F54" s="273">
        <v>1161</v>
      </c>
      <c r="G54" s="273">
        <f t="shared" si="64"/>
        <v>19069.072437793271</v>
      </c>
      <c r="H54" s="273">
        <f t="shared" si="65"/>
        <v>19.311024978466836</v>
      </c>
      <c r="I54" s="273">
        <f t="shared" si="66"/>
        <v>14.187799862919809</v>
      </c>
      <c r="J54" s="97">
        <f t="shared" si="67"/>
        <v>0.734699472386381</v>
      </c>
      <c r="K54" s="97">
        <f t="shared" si="68"/>
        <v>33.55007460668169</v>
      </c>
      <c r="L54" s="93">
        <v>19462210</v>
      </c>
      <c r="M54" s="93">
        <f t="shared" si="69"/>
        <v>9731105</v>
      </c>
      <c r="N54" s="97" t="s">
        <v>6473</v>
      </c>
    </row>
    <row r="55" spans="1:23">
      <c r="A55" s="271" t="s">
        <v>5727</v>
      </c>
      <c r="B55" s="271" t="s">
        <v>6486</v>
      </c>
      <c r="C55" s="271">
        <v>23233.1</v>
      </c>
      <c r="D55" s="286">
        <v>1000</v>
      </c>
      <c r="E55" s="273" t="s">
        <v>6488</v>
      </c>
      <c r="F55" s="273">
        <v>1152</v>
      </c>
      <c r="G55" s="273">
        <f t="shared" si="64"/>
        <v>19914.936480069027</v>
      </c>
      <c r="H55" s="273">
        <f t="shared" si="65"/>
        <v>20.167621527777776</v>
      </c>
      <c r="I55" s="273">
        <f t="shared" si="66"/>
        <v>14.187799862919809</v>
      </c>
      <c r="J55" s="97">
        <f t="shared" si="67"/>
        <v>0.70349395655696489</v>
      </c>
      <c r="K55" s="97">
        <f t="shared" si="68"/>
        <v>39.587631927670408</v>
      </c>
      <c r="L55" s="93">
        <v>0</v>
      </c>
      <c r="M55" s="93">
        <f t="shared" si="69"/>
        <v>0</v>
      </c>
      <c r="N55" s="97" t="s">
        <v>6473</v>
      </c>
    </row>
    <row r="56" spans="1:23" ht="42.75" customHeight="1">
      <c r="A56" s="271" t="s">
        <v>5729</v>
      </c>
      <c r="B56" s="271" t="s">
        <v>6486</v>
      </c>
      <c r="C56" s="271">
        <v>23900</v>
      </c>
      <c r="D56" s="286">
        <v>1000</v>
      </c>
      <c r="E56" s="273" t="s">
        <v>6489</v>
      </c>
      <c r="F56" s="273">
        <v>1153</v>
      </c>
      <c r="G56" s="273">
        <f t="shared" si="64"/>
        <v>20468.821398374203</v>
      </c>
      <c r="H56" s="273">
        <f t="shared" si="65"/>
        <v>20.7285342584562</v>
      </c>
      <c r="I56" s="273">
        <f t="shared" si="66"/>
        <v>14.187799862919809</v>
      </c>
      <c r="J56" s="97">
        <f t="shared" si="67"/>
        <v>0.68445745782203093</v>
      </c>
      <c r="K56" s="97">
        <f t="shared" si="68"/>
        <v>43.541118275785486</v>
      </c>
      <c r="L56" s="93">
        <v>0</v>
      </c>
      <c r="M56" s="93">
        <f t="shared" si="69"/>
        <v>0</v>
      </c>
      <c r="N56" s="97" t="s">
        <v>6473</v>
      </c>
      <c r="P56" t="s">
        <v>25</v>
      </c>
      <c r="S56" t="s">
        <v>25</v>
      </c>
    </row>
    <row r="57" spans="1:23" ht="33" customHeight="1">
      <c r="A57" s="271" t="s">
        <v>5739</v>
      </c>
      <c r="B57" s="271" t="s">
        <v>6486</v>
      </c>
      <c r="C57" s="271">
        <v>22500</v>
      </c>
      <c r="D57" s="286">
        <v>2000</v>
      </c>
      <c r="E57" s="273" t="s">
        <v>6488</v>
      </c>
      <c r="F57" s="273">
        <v>1093</v>
      </c>
      <c r="G57" s="273">
        <f t="shared" si="64"/>
        <v>40655.246136679802</v>
      </c>
      <c r="H57" s="273">
        <f t="shared" si="65"/>
        <v>20.585544373284538</v>
      </c>
      <c r="I57" s="273">
        <f t="shared" si="66"/>
        <v>14.187799862919809</v>
      </c>
      <c r="J57" s="97">
        <f t="shared" si="67"/>
        <v>0.68921178889650447</v>
      </c>
      <c r="K57" s="97">
        <f t="shared" si="68"/>
        <v>42.533281355662503</v>
      </c>
      <c r="L57" s="93">
        <v>0</v>
      </c>
      <c r="M57" s="93">
        <f t="shared" si="69"/>
        <v>0</v>
      </c>
      <c r="N57" s="97" t="s">
        <v>6473</v>
      </c>
      <c r="R57" t="s">
        <v>25</v>
      </c>
    </row>
    <row r="58" spans="1:23" ht="20.25" customHeight="1">
      <c r="A58" s="271" t="s">
        <v>6457</v>
      </c>
      <c r="B58" s="271" t="s">
        <v>6485</v>
      </c>
      <c r="C58" s="271">
        <v>23706</v>
      </c>
      <c r="D58" s="286">
        <v>1000</v>
      </c>
      <c r="E58" s="273" t="s">
        <v>4216</v>
      </c>
      <c r="F58" s="273">
        <v>1155</v>
      </c>
      <c r="G58" s="273">
        <f t="shared" si="64"/>
        <v>20267.516662882761</v>
      </c>
      <c r="H58" s="273">
        <f t="shared" si="65"/>
        <v>20.524675324675325</v>
      </c>
      <c r="I58" s="273">
        <f t="shared" si="66"/>
        <v>14.187799862919809</v>
      </c>
      <c r="J58" s="97">
        <f t="shared" si="67"/>
        <v>0.69125575135714079</v>
      </c>
      <c r="K58" s="97">
        <f t="shared" si="68"/>
        <v>42.104257481648766</v>
      </c>
      <c r="L58" s="93">
        <v>0</v>
      </c>
      <c r="M58" s="93">
        <f t="shared" si="69"/>
        <v>0</v>
      </c>
      <c r="N58" s="97" t="s">
        <v>6473</v>
      </c>
      <c r="Q58" s="94"/>
    </row>
    <row r="59" spans="1:23">
      <c r="A59" s="60" t="s">
        <v>6457</v>
      </c>
      <c r="B59" s="60" t="s">
        <v>4354</v>
      </c>
      <c r="C59" s="60">
        <v>16794</v>
      </c>
      <c r="D59" s="60">
        <v>2227</v>
      </c>
      <c r="E59" s="273" t="s">
        <v>4216</v>
      </c>
      <c r="F59" s="273">
        <v>1146.6500000000001</v>
      </c>
      <c r="G59" s="273">
        <f t="shared" si="64"/>
        <v>32208.294857700886</v>
      </c>
      <c r="H59" s="273">
        <f t="shared" si="65"/>
        <v>14.646143112545239</v>
      </c>
      <c r="I59" s="273">
        <f>$R$32/$R$28</f>
        <v>12.302947224126115</v>
      </c>
      <c r="J59" s="97">
        <f t="shared" si="67"/>
        <v>0.84001276852115103</v>
      </c>
      <c r="K59" s="97">
        <f t="shared" si="68"/>
        <v>16.485809477456836</v>
      </c>
      <c r="L59" s="93">
        <v>3219484</v>
      </c>
      <c r="M59" s="93">
        <f t="shared" si="69"/>
        <v>1609742</v>
      </c>
      <c r="N59" s="97" t="s">
        <v>6463</v>
      </c>
      <c r="P59" t="s">
        <v>25</v>
      </c>
      <c r="Q59" s="94"/>
      <c r="R59" s="94"/>
    </row>
    <row r="60" spans="1:23">
      <c r="A60" s="20" t="s">
        <v>6566</v>
      </c>
      <c r="B60" s="20" t="s">
        <v>6567</v>
      </c>
      <c r="C60" s="20">
        <v>21350</v>
      </c>
      <c r="D60" s="20">
        <v>639</v>
      </c>
      <c r="E60" s="20" t="s">
        <v>4358</v>
      </c>
      <c r="F60" s="20">
        <v>20666.599999999999</v>
      </c>
      <c r="G60" s="20">
        <v>639</v>
      </c>
      <c r="H60" s="20"/>
      <c r="I60" s="20"/>
      <c r="J60" s="20"/>
      <c r="K60" s="20"/>
      <c r="L60" s="344">
        <v>268731</v>
      </c>
      <c r="M60" s="344">
        <f t="shared" si="69"/>
        <v>134365.5</v>
      </c>
      <c r="N60" s="20" t="s">
        <v>6566</v>
      </c>
      <c r="Q60" s="94" t="s">
        <v>25</v>
      </c>
      <c r="R60" s="94"/>
    </row>
    <row r="61" spans="1:23">
      <c r="A61" s="97" t="s">
        <v>6576</v>
      </c>
      <c r="B61" s="97" t="s">
        <v>6578</v>
      </c>
      <c r="C61" s="97">
        <v>1286.5</v>
      </c>
      <c r="D61" s="97">
        <v>12000</v>
      </c>
      <c r="E61" s="97" t="s">
        <v>4216</v>
      </c>
      <c r="F61" s="97"/>
      <c r="G61" s="97"/>
      <c r="H61" s="97"/>
      <c r="I61" s="97"/>
      <c r="J61" s="97"/>
      <c r="K61" s="97"/>
      <c r="L61" s="344"/>
      <c r="M61" s="344">
        <f t="shared" si="69"/>
        <v>0</v>
      </c>
      <c r="N61" s="97"/>
      <c r="P61" t="s">
        <v>25</v>
      </c>
      <c r="Q61" s="94"/>
      <c r="R61" s="94"/>
    </row>
    <row r="62" spans="1:23" ht="24" customHeight="1">
      <c r="A62" s="97" t="s">
        <v>6577</v>
      </c>
      <c r="B62" s="97" t="s">
        <v>6578</v>
      </c>
      <c r="C62" s="97">
        <v>1275</v>
      </c>
      <c r="D62" s="97">
        <v>9000</v>
      </c>
      <c r="E62" s="97" t="s">
        <v>4216</v>
      </c>
      <c r="F62" s="97">
        <v>1314</v>
      </c>
      <c r="G62" s="97">
        <v>9000</v>
      </c>
      <c r="H62" s="97"/>
      <c r="I62" s="97"/>
      <c r="J62" s="97"/>
      <c r="K62" s="97"/>
      <c r="L62" s="344">
        <v>191456</v>
      </c>
      <c r="M62" s="344">
        <f t="shared" si="69"/>
        <v>95728</v>
      </c>
      <c r="N62" s="36" t="s">
        <v>6592</v>
      </c>
      <c r="Q62" s="94"/>
      <c r="R62" s="94"/>
    </row>
    <row r="63" spans="1:23">
      <c r="A63" s="97" t="s">
        <v>6577</v>
      </c>
      <c r="B63" s="97" t="s">
        <v>6567</v>
      </c>
      <c r="C63" s="97">
        <v>19703</v>
      </c>
      <c r="D63" s="97">
        <v>210</v>
      </c>
      <c r="E63" s="97" t="s">
        <v>4358</v>
      </c>
      <c r="F63" s="97">
        <v>20548.900000000001</v>
      </c>
      <c r="G63" s="97">
        <v>210</v>
      </c>
      <c r="H63" s="97"/>
      <c r="I63" s="97"/>
      <c r="J63" s="97"/>
      <c r="K63" s="97"/>
      <c r="L63" s="344">
        <v>124637</v>
      </c>
      <c r="M63" s="344">
        <f>L63/2</f>
        <v>62318.5</v>
      </c>
      <c r="N63" s="97" t="s">
        <v>6579</v>
      </c>
      <c r="Q63" s="94"/>
      <c r="R63" s="94"/>
    </row>
    <row r="64" spans="1:23">
      <c r="A64" s="97" t="s">
        <v>6579</v>
      </c>
      <c r="B64" s="97" t="s">
        <v>6578</v>
      </c>
      <c r="C64" s="97">
        <v>1266.5</v>
      </c>
      <c r="D64" s="97">
        <v>8000</v>
      </c>
      <c r="E64" s="97" t="s">
        <v>4216</v>
      </c>
      <c r="F64" s="97">
        <v>1301</v>
      </c>
      <c r="G64" s="97">
        <v>8000</v>
      </c>
      <c r="H64" s="97"/>
      <c r="I64" s="97"/>
      <c r="J64" s="97"/>
      <c r="K64" s="97"/>
      <c r="L64" s="344">
        <v>146805</v>
      </c>
      <c r="M64" s="344">
        <f>L64/2</f>
        <v>73402.5</v>
      </c>
      <c r="N64" s="97" t="s">
        <v>6579</v>
      </c>
      <c r="P64" t="s">
        <v>25</v>
      </c>
      <c r="Q64" s="94"/>
      <c r="R64" s="94"/>
      <c r="S64" s="94"/>
    </row>
    <row r="65" spans="1:20" ht="30">
      <c r="A65" s="36" t="s">
        <v>6593</v>
      </c>
      <c r="B65" s="97" t="s">
        <v>6578</v>
      </c>
      <c r="C65" s="97" t="s">
        <v>6594</v>
      </c>
      <c r="D65" s="97">
        <v>21000</v>
      </c>
      <c r="E65" s="97" t="s">
        <v>4216</v>
      </c>
      <c r="F65" s="97">
        <v>1312</v>
      </c>
      <c r="G65" s="97">
        <v>21000</v>
      </c>
      <c r="H65" s="97"/>
      <c r="I65" s="97"/>
      <c r="J65" s="97"/>
      <c r="K65" s="97"/>
      <c r="L65" s="344">
        <v>345822</v>
      </c>
      <c r="M65" s="344">
        <f>L65/2</f>
        <v>172911</v>
      </c>
      <c r="N65" s="97" t="s">
        <v>6595</v>
      </c>
      <c r="Q65" s="94"/>
      <c r="R65" s="94"/>
      <c r="S65" s="94"/>
    </row>
    <row r="66" spans="1:20">
      <c r="A66" s="97"/>
      <c r="B66" s="97"/>
      <c r="C66" s="97"/>
      <c r="D66" s="97"/>
      <c r="E66" s="97"/>
      <c r="F66" s="97"/>
      <c r="G66" s="97"/>
      <c r="H66" s="97"/>
      <c r="I66" s="97"/>
      <c r="J66" s="97"/>
      <c r="K66" s="97" t="s">
        <v>25</v>
      </c>
      <c r="L66" s="344"/>
      <c r="M66" s="344"/>
      <c r="N66" s="97"/>
      <c r="P66" t="s">
        <v>25</v>
      </c>
      <c r="Q66" s="94"/>
      <c r="R66" s="94"/>
      <c r="S66" s="94"/>
    </row>
    <row r="67" spans="1:20">
      <c r="A67" s="94"/>
      <c r="N67" s="94"/>
      <c r="P67" t="s">
        <v>25</v>
      </c>
      <c r="Q67" s="94"/>
      <c r="R67" s="94"/>
      <c r="S67" s="94"/>
    </row>
    <row r="68" spans="1:20">
      <c r="A68" s="94"/>
      <c r="Q68" s="94"/>
      <c r="R68" s="94"/>
      <c r="S68" s="94"/>
      <c r="T68" s="94"/>
    </row>
    <row r="69" spans="1:20">
      <c r="A69" s="97" t="s">
        <v>6474</v>
      </c>
      <c r="B69" s="97"/>
      <c r="C69" s="97" t="s">
        <v>920</v>
      </c>
      <c r="D69" s="97" t="s">
        <v>933</v>
      </c>
      <c r="E69" s="97" t="s">
        <v>920</v>
      </c>
      <c r="F69" s="97" t="s">
        <v>933</v>
      </c>
      <c r="G69" s="97" t="s">
        <v>936</v>
      </c>
      <c r="H69" s="97" t="s">
        <v>5</v>
      </c>
      <c r="I69" s="97" t="s">
        <v>6589</v>
      </c>
      <c r="J69" s="97"/>
      <c r="K69" s="97"/>
      <c r="L69" s="97"/>
      <c r="M69" s="97"/>
      <c r="N69" s="97"/>
      <c r="Q69" s="94"/>
      <c r="R69" s="94" t="s">
        <v>25</v>
      </c>
      <c r="S69" s="94"/>
      <c r="T69" s="94"/>
    </row>
    <row r="70" spans="1:20">
      <c r="A70" s="97" t="s">
        <v>6473</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6478</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6570</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6570</v>
      </c>
      <c r="B73" s="20" t="s">
        <v>4216</v>
      </c>
      <c r="C73" s="20">
        <v>28000</v>
      </c>
      <c r="D73" s="20">
        <v>1302</v>
      </c>
      <c r="E73" s="20">
        <v>28000</v>
      </c>
      <c r="F73" s="20">
        <v>1345</v>
      </c>
      <c r="G73" s="93">
        <v>737130</v>
      </c>
      <c r="H73" s="93">
        <f>G73/2</f>
        <v>368565</v>
      </c>
      <c r="I73" s="20" t="s">
        <v>6575</v>
      </c>
      <c r="J73" s="20"/>
      <c r="K73" s="97"/>
      <c r="L73" s="97"/>
      <c r="M73" s="97"/>
      <c r="N73" s="97"/>
      <c r="P73" s="94"/>
      <c r="Q73" s="94" t="s">
        <v>25</v>
      </c>
      <c r="R73" s="94"/>
      <c r="S73" s="94"/>
      <c r="T73" s="94"/>
    </row>
    <row r="74" spans="1:20">
      <c r="A74" s="159" t="s">
        <v>6575</v>
      </c>
      <c r="B74" s="159" t="s">
        <v>4216</v>
      </c>
      <c r="C74" s="159">
        <v>28000</v>
      </c>
      <c r="D74" s="159">
        <v>1306.5</v>
      </c>
      <c r="E74" s="159">
        <v>28000</v>
      </c>
      <c r="F74" s="159">
        <v>1358.5</v>
      </c>
      <c r="G74" s="159">
        <v>985488</v>
      </c>
      <c r="H74" s="159">
        <f>G74/2</f>
        <v>492744</v>
      </c>
      <c r="I74" s="97" t="s">
        <v>6588</v>
      </c>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O79" s="94"/>
      <c r="P79" s="94"/>
      <c r="Q79" s="94"/>
      <c r="R79" s="94" t="s">
        <v>25</v>
      </c>
      <c r="S79" s="94"/>
      <c r="T79" s="94"/>
    </row>
    <row r="80" spans="1:20">
      <c r="A80" s="94"/>
      <c r="B80" s="94"/>
      <c r="C80" s="94"/>
      <c r="D80" s="94"/>
      <c r="E80" s="94"/>
      <c r="O80" s="94"/>
      <c r="P80" s="94"/>
      <c r="Q80" s="94"/>
      <c r="R80" s="94" t="s">
        <v>25</v>
      </c>
      <c r="S80" s="94"/>
      <c r="T80" s="94"/>
    </row>
    <row r="81" spans="1:26">
      <c r="A81" s="94"/>
      <c r="B81" s="94">
        <v>1458</v>
      </c>
      <c r="C81" s="94"/>
      <c r="D81" s="94"/>
      <c r="E81" s="94"/>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v>900</v>
      </c>
      <c r="B83" s="94">
        <v>620</v>
      </c>
      <c r="C83" s="94">
        <f>$B$81-B83</f>
        <v>838</v>
      </c>
      <c r="D83" s="94">
        <f>(A83-C83)*100/C83</f>
        <v>7.3985680190930792</v>
      </c>
      <c r="E83" s="94"/>
      <c r="P83" s="94"/>
      <c r="Q83" s="94" t="s">
        <v>25</v>
      </c>
      <c r="R83" s="94" t="s">
        <v>25</v>
      </c>
      <c r="S83" s="94"/>
      <c r="T83" s="94"/>
    </row>
    <row r="84" spans="1:26">
      <c r="A84" s="94">
        <v>1000</v>
      </c>
      <c r="B84" s="94">
        <v>522</v>
      </c>
      <c r="C84" s="460">
        <f>$B$81-B84</f>
        <v>936</v>
      </c>
      <c r="D84" s="460">
        <f>(A84-C84)*100/C84</f>
        <v>6.8376068376068373</v>
      </c>
      <c r="E84" s="94"/>
      <c r="O84" s="94"/>
      <c r="P84" s="94"/>
      <c r="Q84" s="94" t="s">
        <v>25</v>
      </c>
      <c r="R84" s="112" t="s">
        <v>25</v>
      </c>
      <c r="S84" s="94"/>
      <c r="T84" s="94"/>
    </row>
    <row r="85" spans="1:26">
      <c r="A85" s="94">
        <v>1200</v>
      </c>
      <c r="B85" s="94">
        <v>340</v>
      </c>
      <c r="C85" s="460">
        <f>$B$81-B85</f>
        <v>1118</v>
      </c>
      <c r="D85" s="460">
        <f>(A85-C85)*100/C85</f>
        <v>7.3345259391771016</v>
      </c>
      <c r="E85" s="94"/>
      <c r="K85" t="s">
        <v>25</v>
      </c>
      <c r="O85" s="94"/>
      <c r="P85" s="94"/>
      <c r="Q85" s="94" t="s">
        <v>25</v>
      </c>
      <c r="R85" s="112" t="s">
        <v>25</v>
      </c>
      <c r="S85" s="94" t="s">
        <v>25</v>
      </c>
      <c r="T85" s="94"/>
    </row>
    <row r="86" spans="1:26">
      <c r="A86" s="94">
        <v>1400</v>
      </c>
      <c r="B86">
        <v>260</v>
      </c>
      <c r="C86" s="460">
        <f>$B$81-B86</f>
        <v>1198</v>
      </c>
      <c r="D86" s="460">
        <f>(A86-C86)*100/C86</f>
        <v>16.861435726210349</v>
      </c>
      <c r="H86">
        <v>66597</v>
      </c>
      <c r="J86" t="s">
        <v>25</v>
      </c>
      <c r="O86" s="94"/>
      <c r="P86" s="94"/>
      <c r="Q86" s="94" t="s">
        <v>25</v>
      </c>
      <c r="R86" s="112"/>
      <c r="S86" s="94" t="s">
        <v>25</v>
      </c>
      <c r="T86" s="94"/>
    </row>
    <row r="87" spans="1:26">
      <c r="A87" s="94"/>
      <c r="O87" s="94"/>
      <c r="P87" s="94"/>
      <c r="Q87" s="94"/>
      <c r="R87" s="94"/>
      <c r="S87" s="120" t="s">
        <v>25</v>
      </c>
      <c r="T87" s="94"/>
    </row>
    <row r="88" spans="1:26">
      <c r="A88" s="94"/>
      <c r="O88" s="94"/>
      <c r="P88" s="94"/>
      <c r="Q88" s="94"/>
      <c r="R88" s="94"/>
      <c r="S88" s="94" t="s">
        <v>25</v>
      </c>
      <c r="T88" s="94"/>
    </row>
    <row r="89" spans="1:26">
      <c r="A89" s="94"/>
      <c r="H89">
        <v>31500</v>
      </c>
      <c r="O89" s="94"/>
      <c r="P89" s="94"/>
      <c r="Q89" s="94"/>
      <c r="S89" s="94" t="s">
        <v>25</v>
      </c>
      <c r="T89" s="94"/>
    </row>
    <row r="90" spans="1:26">
      <c r="A90" s="94"/>
      <c r="H90">
        <v>34120</v>
      </c>
      <c r="O90" s="94"/>
      <c r="P90" s="94"/>
      <c r="Q90" s="94"/>
      <c r="S90" s="94"/>
      <c r="T90" s="94"/>
    </row>
    <row r="91" spans="1:26">
      <c r="A91" s="94"/>
      <c r="O91" s="94"/>
      <c r="P91" s="94"/>
      <c r="S91" s="94"/>
      <c r="T91" s="94"/>
    </row>
    <row r="92" spans="1:26">
      <c r="A92" s="94"/>
      <c r="O92" s="94"/>
      <c r="P92" s="94"/>
      <c r="S92" s="94"/>
      <c r="T92" s="94"/>
    </row>
    <row r="93" spans="1:26">
      <c r="A93" s="94"/>
      <c r="O93" s="94"/>
      <c r="P93" s="94" t="s">
        <v>25</v>
      </c>
      <c r="S93" s="94"/>
      <c r="T93" s="94"/>
    </row>
    <row r="94" spans="1:26">
      <c r="A94" s="94"/>
      <c r="O94" s="94" t="s">
        <v>25</v>
      </c>
      <c r="P94" s="94" t="s">
        <v>25</v>
      </c>
      <c r="R94" t="s">
        <v>25</v>
      </c>
    </row>
    <row r="95" spans="1:26">
      <c r="A95" s="94"/>
      <c r="O95" s="94"/>
      <c r="P95" s="94"/>
    </row>
    <row r="96" spans="1:26">
      <c r="A96" s="94"/>
      <c r="D96">
        <v>28000</v>
      </c>
      <c r="O96" s="94"/>
      <c r="P96" s="94" t="s">
        <v>25</v>
      </c>
      <c r="Z96" t="s">
        <v>25</v>
      </c>
    </row>
    <row r="97" spans="1:27">
      <c r="A97" s="94"/>
      <c r="O97" s="94" t="s">
        <v>25</v>
      </c>
      <c r="P97" s="94" t="s">
        <v>25</v>
      </c>
      <c r="Q97" t="s">
        <v>25</v>
      </c>
    </row>
    <row r="98" spans="1:27">
      <c r="A98" s="94" t="s">
        <v>7040</v>
      </c>
      <c r="B98">
        <v>10330</v>
      </c>
      <c r="C98">
        <v>11900</v>
      </c>
      <c r="D98" s="112">
        <f t="shared" ref="D98:D120" si="70">B98*$D$96</f>
        <v>289240000</v>
      </c>
      <c r="E98" s="112">
        <f t="shared" ref="E98:E120" si="71">C98*$D$96</f>
        <v>333200000</v>
      </c>
      <c r="F98" s="112">
        <v>440000000</v>
      </c>
      <c r="G98">
        <f>(F98-E98)*100/E98</f>
        <v>32.052821128451377</v>
      </c>
      <c r="O98" s="94" t="s">
        <v>25</v>
      </c>
      <c r="P98" s="94" t="s">
        <v>25</v>
      </c>
    </row>
    <row r="99" spans="1:27">
      <c r="A99" s="94" t="s">
        <v>7041</v>
      </c>
      <c r="C99">
        <v>18000</v>
      </c>
      <c r="D99" s="112">
        <f t="shared" si="70"/>
        <v>0</v>
      </c>
      <c r="E99" s="112">
        <f t="shared" si="71"/>
        <v>504000000</v>
      </c>
      <c r="F99" s="112">
        <v>700000000</v>
      </c>
      <c r="G99" s="459">
        <f t="shared" ref="G99:G116" si="72">(F99-E99)*100/E99</f>
        <v>38.888888888888886</v>
      </c>
      <c r="O99" s="94"/>
      <c r="P99" s="94" t="s">
        <v>25</v>
      </c>
      <c r="AA99" t="s">
        <v>25</v>
      </c>
    </row>
    <row r="100" spans="1:27">
      <c r="A100" s="94" t="s">
        <v>7042</v>
      </c>
      <c r="C100">
        <v>19000</v>
      </c>
      <c r="D100" s="112">
        <f t="shared" si="70"/>
        <v>0</v>
      </c>
      <c r="E100" s="112">
        <f t="shared" si="71"/>
        <v>532000000</v>
      </c>
      <c r="F100" s="112">
        <v>650000000</v>
      </c>
      <c r="G100" s="459">
        <f t="shared" si="72"/>
        <v>22.180451127819548</v>
      </c>
      <c r="O100" s="94"/>
      <c r="P100" s="94" t="s">
        <v>25</v>
      </c>
    </row>
    <row r="101" spans="1:27">
      <c r="A101" s="94" t="s">
        <v>7043</v>
      </c>
      <c r="C101">
        <v>23000</v>
      </c>
      <c r="D101" s="112">
        <f t="shared" si="70"/>
        <v>0</v>
      </c>
      <c r="E101" s="112">
        <f t="shared" si="71"/>
        <v>644000000</v>
      </c>
      <c r="F101" s="112">
        <v>930000000</v>
      </c>
      <c r="G101" s="459">
        <f t="shared" si="72"/>
        <v>44.409937888198755</v>
      </c>
      <c r="O101" s="94"/>
      <c r="P101" s="94" t="s">
        <v>25</v>
      </c>
    </row>
    <row r="102" spans="1:27">
      <c r="A102" s="94" t="s">
        <v>7044</v>
      </c>
      <c r="C102">
        <v>13000</v>
      </c>
      <c r="D102" s="112">
        <f t="shared" si="70"/>
        <v>0</v>
      </c>
      <c r="E102" s="112">
        <f t="shared" si="71"/>
        <v>364000000</v>
      </c>
      <c r="F102" s="112">
        <v>600000000</v>
      </c>
      <c r="G102" s="459">
        <f t="shared" si="72"/>
        <v>64.835164835164832</v>
      </c>
      <c r="O102" s="94"/>
      <c r="P102" s="94" t="s">
        <v>25</v>
      </c>
      <c r="Q102" t="s">
        <v>25</v>
      </c>
    </row>
    <row r="103" spans="1:27">
      <c r="A103" s="94" t="s">
        <v>7045</v>
      </c>
      <c r="C103">
        <v>13000</v>
      </c>
      <c r="D103" s="112">
        <f t="shared" si="70"/>
        <v>0</v>
      </c>
      <c r="E103" s="112">
        <f t="shared" si="71"/>
        <v>364000000</v>
      </c>
      <c r="F103" s="112">
        <v>400000000</v>
      </c>
      <c r="G103" s="459">
        <f t="shared" si="72"/>
        <v>9.8901098901098905</v>
      </c>
      <c r="O103" s="94"/>
    </row>
    <row r="104" spans="1:27">
      <c r="A104" s="94" t="s">
        <v>7046</v>
      </c>
      <c r="C104">
        <v>13600</v>
      </c>
      <c r="D104" s="112">
        <f t="shared" si="70"/>
        <v>0</v>
      </c>
      <c r="E104" s="112">
        <f t="shared" si="71"/>
        <v>380800000</v>
      </c>
      <c r="F104" s="112">
        <v>520000000</v>
      </c>
      <c r="G104" s="459">
        <f t="shared" si="72"/>
        <v>36.554621848739494</v>
      </c>
      <c r="P104" t="s">
        <v>25</v>
      </c>
      <c r="R104" t="s">
        <v>25</v>
      </c>
    </row>
    <row r="105" spans="1:27">
      <c r="A105" s="94" t="s">
        <v>7047</v>
      </c>
      <c r="C105">
        <v>28000</v>
      </c>
      <c r="D105" s="112">
        <f t="shared" si="70"/>
        <v>0</v>
      </c>
      <c r="E105" s="112">
        <f t="shared" si="71"/>
        <v>784000000</v>
      </c>
      <c r="F105" s="112">
        <v>900000000</v>
      </c>
      <c r="G105" s="459">
        <f t="shared" si="72"/>
        <v>14.795918367346939</v>
      </c>
    </row>
    <row r="106" spans="1:27">
      <c r="A106" s="94" t="s">
        <v>7048</v>
      </c>
      <c r="C106">
        <v>19000</v>
      </c>
      <c r="D106" s="112">
        <f t="shared" si="70"/>
        <v>0</v>
      </c>
      <c r="E106" s="112">
        <f t="shared" si="71"/>
        <v>532000000</v>
      </c>
      <c r="F106" s="112">
        <v>700000000</v>
      </c>
      <c r="G106" s="459">
        <f t="shared" si="72"/>
        <v>31.578947368421051</v>
      </c>
      <c r="O106" t="s">
        <v>25</v>
      </c>
    </row>
    <row r="107" spans="1:27">
      <c r="A107" s="94" t="s">
        <v>7049</v>
      </c>
      <c r="C107">
        <v>15000</v>
      </c>
      <c r="D107" s="112">
        <f t="shared" si="70"/>
        <v>0</v>
      </c>
      <c r="E107" s="112">
        <f t="shared" si="71"/>
        <v>420000000</v>
      </c>
      <c r="F107" s="112">
        <v>700000000</v>
      </c>
      <c r="G107" s="459">
        <f t="shared" si="72"/>
        <v>66.666666666666671</v>
      </c>
      <c r="Z107" t="s">
        <v>25</v>
      </c>
    </row>
    <row r="108" spans="1:27">
      <c r="A108" s="94" t="s">
        <v>7050</v>
      </c>
      <c r="C108">
        <v>21000</v>
      </c>
      <c r="D108" s="112">
        <f t="shared" si="70"/>
        <v>0</v>
      </c>
      <c r="E108" s="112">
        <f t="shared" si="71"/>
        <v>588000000</v>
      </c>
      <c r="F108" s="112">
        <v>700000000</v>
      </c>
      <c r="G108" s="459">
        <f t="shared" si="72"/>
        <v>19.047619047619047</v>
      </c>
      <c r="P108" t="s">
        <v>25</v>
      </c>
    </row>
    <row r="109" spans="1:27">
      <c r="A109" s="94" t="s">
        <v>7051</v>
      </c>
      <c r="C109">
        <v>17000</v>
      </c>
      <c r="D109" s="112">
        <f t="shared" si="70"/>
        <v>0</v>
      </c>
      <c r="E109" s="112">
        <f t="shared" si="71"/>
        <v>476000000</v>
      </c>
      <c r="F109" s="112">
        <v>700000000</v>
      </c>
      <c r="G109" s="459">
        <f t="shared" si="72"/>
        <v>47.058823529411768</v>
      </c>
      <c r="O109" t="s">
        <v>25</v>
      </c>
      <c r="P109" t="s">
        <v>25</v>
      </c>
    </row>
    <row r="110" spans="1:27">
      <c r="A110" t="s">
        <v>7052</v>
      </c>
      <c r="C110">
        <v>11000</v>
      </c>
      <c r="D110" s="112">
        <f t="shared" si="70"/>
        <v>0</v>
      </c>
      <c r="E110" s="112">
        <f t="shared" si="71"/>
        <v>308000000</v>
      </c>
      <c r="F110" s="112">
        <v>370000000</v>
      </c>
      <c r="G110" s="459">
        <f t="shared" si="72"/>
        <v>20.129870129870131</v>
      </c>
      <c r="P110" t="s">
        <v>25</v>
      </c>
    </row>
    <row r="111" spans="1:27">
      <c r="D111" s="112">
        <f t="shared" si="70"/>
        <v>0</v>
      </c>
      <c r="E111" s="112">
        <f t="shared" si="71"/>
        <v>0</v>
      </c>
      <c r="F111" s="112"/>
      <c r="G111" s="459" t="e">
        <f t="shared" si="72"/>
        <v>#DIV/0!</v>
      </c>
      <c r="O111" t="s">
        <v>25</v>
      </c>
      <c r="P111" t="s">
        <v>25</v>
      </c>
    </row>
    <row r="112" spans="1:27">
      <c r="D112" s="112">
        <f t="shared" si="70"/>
        <v>0</v>
      </c>
      <c r="E112" s="112">
        <f t="shared" si="71"/>
        <v>0</v>
      </c>
      <c r="F112" s="112"/>
      <c r="G112" s="459" t="e">
        <f t="shared" si="72"/>
        <v>#DIV/0!</v>
      </c>
    </row>
    <row r="113" spans="4:19">
      <c r="D113" s="112">
        <f t="shared" si="70"/>
        <v>0</v>
      </c>
      <c r="E113" s="112">
        <f t="shared" si="71"/>
        <v>0</v>
      </c>
      <c r="F113" s="112"/>
      <c r="G113" s="459" t="e">
        <f t="shared" si="72"/>
        <v>#DIV/0!</v>
      </c>
      <c r="P113" t="s">
        <v>25</v>
      </c>
      <c r="Q113" t="s">
        <v>25</v>
      </c>
    </row>
    <row r="114" spans="4:19">
      <c r="D114" s="112">
        <f t="shared" si="70"/>
        <v>0</v>
      </c>
      <c r="E114" s="112">
        <f t="shared" si="71"/>
        <v>0</v>
      </c>
      <c r="F114" s="112"/>
      <c r="G114" s="459" t="e">
        <f t="shared" si="72"/>
        <v>#DIV/0!</v>
      </c>
      <c r="P114" t="s">
        <v>25</v>
      </c>
      <c r="R114" t="s">
        <v>25</v>
      </c>
    </row>
    <row r="115" spans="4:19" ht="27" customHeight="1">
      <c r="D115" s="112">
        <f t="shared" si="70"/>
        <v>0</v>
      </c>
      <c r="E115" s="112">
        <f t="shared" si="71"/>
        <v>0</v>
      </c>
      <c r="F115" s="112"/>
      <c r="G115" s="459" t="e">
        <f t="shared" si="72"/>
        <v>#DIV/0!</v>
      </c>
      <c r="P115" t="s">
        <v>25</v>
      </c>
      <c r="Q115" t="s">
        <v>25</v>
      </c>
      <c r="R115" t="s">
        <v>25</v>
      </c>
    </row>
    <row r="116" spans="4:19">
      <c r="D116" s="112">
        <f t="shared" si="70"/>
        <v>0</v>
      </c>
      <c r="E116" s="112">
        <f t="shared" si="71"/>
        <v>0</v>
      </c>
      <c r="F116" s="112"/>
      <c r="G116" s="459" t="e">
        <f t="shared" si="72"/>
        <v>#DIV/0!</v>
      </c>
      <c r="O116" t="s">
        <v>25</v>
      </c>
      <c r="P116" t="s">
        <v>25</v>
      </c>
      <c r="R116" s="283" t="s">
        <v>5650</v>
      </c>
    </row>
    <row r="117" spans="4:19">
      <c r="D117" s="112">
        <f t="shared" si="70"/>
        <v>0</v>
      </c>
      <c r="E117" s="112">
        <f t="shared" si="71"/>
        <v>0</v>
      </c>
      <c r="P117" t="s">
        <v>25</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D120" s="112">
        <f t="shared" si="70"/>
        <v>0</v>
      </c>
      <c r="E120" s="112">
        <f t="shared" si="71"/>
        <v>0</v>
      </c>
    </row>
    <row r="121" spans="4:19">
      <c r="P121" t="s">
        <v>25</v>
      </c>
    </row>
    <row r="122" spans="4:19">
      <c r="P122" t="s">
        <v>25</v>
      </c>
      <c r="R122" t="s">
        <v>25</v>
      </c>
    </row>
    <row r="123" spans="4:19">
      <c r="R123" t="s">
        <v>25</v>
      </c>
      <c r="S123" t="s">
        <v>25</v>
      </c>
    </row>
    <row r="124" spans="4:19">
      <c r="S124" t="s">
        <v>25</v>
      </c>
    </row>
    <row r="125" spans="4:19">
      <c r="P125" t="s">
        <v>25</v>
      </c>
      <c r="S125" t="s">
        <v>25</v>
      </c>
    </row>
    <row r="126" spans="4:19">
      <c r="Q126" t="s">
        <v>25</v>
      </c>
      <c r="R126" t="s">
        <v>25</v>
      </c>
      <c r="S126" t="s">
        <v>25</v>
      </c>
    </row>
    <row r="127" spans="4:19">
      <c r="P127" t="s">
        <v>25</v>
      </c>
      <c r="Q127" t="s">
        <v>25</v>
      </c>
      <c r="S127" t="s">
        <v>25</v>
      </c>
    </row>
    <row r="128" spans="4:19">
      <c r="P128" t="s">
        <v>25</v>
      </c>
      <c r="R128" t="s">
        <v>25</v>
      </c>
    </row>
    <row r="129" spans="15:21">
      <c r="O129" t="s">
        <v>25</v>
      </c>
      <c r="P129" s="94" t="s">
        <v>25</v>
      </c>
    </row>
    <row r="130" spans="15:21">
      <c r="Q130" t="s">
        <v>25</v>
      </c>
      <c r="R130" t="s">
        <v>25</v>
      </c>
      <c r="S130" t="s">
        <v>25</v>
      </c>
      <c r="T130" t="s">
        <v>25</v>
      </c>
    </row>
    <row r="131" spans="15:21">
      <c r="O131" s="94"/>
      <c r="P131" t="s">
        <v>25</v>
      </c>
      <c r="Q131" t="s">
        <v>25</v>
      </c>
      <c r="R131" t="s">
        <v>25</v>
      </c>
      <c r="S131" t="s">
        <v>25</v>
      </c>
    </row>
    <row r="132" spans="15:21">
      <c r="O132" s="94"/>
      <c r="P132" t="s">
        <v>25</v>
      </c>
      <c r="R132" t="s">
        <v>25</v>
      </c>
    </row>
    <row r="133" spans="15:21">
      <c r="O133" s="94" t="s">
        <v>25</v>
      </c>
      <c r="Q133" t="s">
        <v>25</v>
      </c>
      <c r="S133" t="s">
        <v>25</v>
      </c>
    </row>
    <row r="134" spans="15:21">
      <c r="O134" t="s">
        <v>25</v>
      </c>
    </row>
    <row r="135" spans="15:21">
      <c r="R135" t="s">
        <v>25</v>
      </c>
    </row>
    <row r="137" spans="15:21">
      <c r="P137" s="94" t="s">
        <v>5500</v>
      </c>
      <c r="R137" t="s">
        <v>25</v>
      </c>
      <c r="S137" t="s">
        <v>25</v>
      </c>
    </row>
    <row r="138" spans="15:21">
      <c r="P138" s="94" t="s">
        <v>5501</v>
      </c>
    </row>
    <row r="139" spans="15:21">
      <c r="P139" s="94" t="s">
        <v>5502</v>
      </c>
      <c r="R139" t="s">
        <v>25</v>
      </c>
    </row>
    <row r="140" spans="15:21">
      <c r="O140" t="s">
        <v>25</v>
      </c>
      <c r="P140" s="94" t="s">
        <v>5503</v>
      </c>
      <c r="R140" t="s">
        <v>25</v>
      </c>
      <c r="U140" t="s">
        <v>25</v>
      </c>
    </row>
    <row r="141" spans="15:21">
      <c r="P141" s="94" t="s">
        <v>5504</v>
      </c>
      <c r="Q141" t="s">
        <v>25</v>
      </c>
      <c r="R141" t="s">
        <v>25</v>
      </c>
      <c r="S141" t="s">
        <v>25</v>
      </c>
    </row>
    <row r="142" spans="15:21">
      <c r="P142" s="94" t="s">
        <v>5505</v>
      </c>
      <c r="R142" t="s">
        <v>25</v>
      </c>
    </row>
    <row r="143" spans="15:21">
      <c r="O143" s="94"/>
    </row>
    <row r="144" spans="15:21">
      <c r="O144" s="94"/>
      <c r="P144" t="s">
        <v>25</v>
      </c>
    </row>
    <row r="145" spans="15:18">
      <c r="O145" s="94"/>
    </row>
    <row r="146" spans="15:18">
      <c r="O146" s="94"/>
      <c r="P146" t="s">
        <v>25</v>
      </c>
    </row>
    <row r="147" spans="15:18">
      <c r="O147" t="s">
        <v>25</v>
      </c>
    </row>
    <row r="148" spans="15:18">
      <c r="P148" t="s">
        <v>25</v>
      </c>
    </row>
    <row r="149" spans="15:18">
      <c r="P149" t="s">
        <v>25</v>
      </c>
    </row>
    <row r="150" spans="15:18">
      <c r="O150" t="s">
        <v>25</v>
      </c>
      <c r="Q150" t="s">
        <v>25</v>
      </c>
    </row>
    <row r="151" spans="15:18">
      <c r="O151" s="94"/>
      <c r="Q151" t="s">
        <v>25</v>
      </c>
    </row>
    <row r="152" spans="15:18">
      <c r="O152" s="94" t="s">
        <v>25</v>
      </c>
    </row>
    <row r="154" spans="15:18">
      <c r="O154" t="s">
        <v>25</v>
      </c>
      <c r="P154" t="s">
        <v>25</v>
      </c>
    </row>
    <row r="155" spans="15:18">
      <c r="O155" t="s">
        <v>25</v>
      </c>
      <c r="R155" t="s">
        <v>25</v>
      </c>
    </row>
    <row r="156" spans="15:18">
      <c r="O156" t="s">
        <v>25</v>
      </c>
    </row>
    <row r="160" spans="15:18">
      <c r="P160" t="s">
        <v>25</v>
      </c>
    </row>
    <row r="168" spans="15:16">
      <c r="P168" t="s">
        <v>25</v>
      </c>
    </row>
    <row r="169" spans="15:16">
      <c r="P169" t="s">
        <v>25</v>
      </c>
    </row>
    <row r="171" spans="15:16">
      <c r="P171" t="s">
        <v>25</v>
      </c>
    </row>
    <row r="172" spans="15:16">
      <c r="O172" t="s">
        <v>25</v>
      </c>
    </row>
    <row r="179" spans="16:19">
      <c r="S179" t="s">
        <v>25</v>
      </c>
    </row>
    <row r="187" spans="16:19">
      <c r="P187" t="s">
        <v>25</v>
      </c>
    </row>
    <row r="193" spans="16:21">
      <c r="U193" t="s">
        <v>25</v>
      </c>
    </row>
    <row r="194" spans="16:21">
      <c r="Q194"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6:K4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6" t="s">
        <v>6490</v>
      </c>
      <c r="C1" s="486"/>
      <c r="D1" s="486" t="s">
        <v>6491</v>
      </c>
      <c r="E1" s="486"/>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7095</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7095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7" t="s">
        <v>1071</v>
      </c>
      <c r="R21" s="487"/>
      <c r="S21" s="487"/>
      <c r="T21" s="487"/>
      <c r="U21" s="94"/>
      <c r="V21" s="94"/>
      <c r="W21" s="41" t="s">
        <v>4943</v>
      </c>
      <c r="X21" s="41">
        <v>9035210431</v>
      </c>
      <c r="Y21" s="41">
        <v>50</v>
      </c>
      <c r="Z21" s="41" t="s">
        <v>5205</v>
      </c>
      <c r="AA21" t="s">
        <v>4961</v>
      </c>
    </row>
    <row r="22" spans="5:35">
      <c r="O22" s="97"/>
      <c r="P22" s="97"/>
      <c r="Q22" s="487"/>
      <c r="R22" s="487"/>
      <c r="S22" s="487"/>
      <c r="T22" s="487"/>
      <c r="U22" s="94"/>
      <c r="V22" s="94"/>
      <c r="W22" s="41" t="s">
        <v>5030</v>
      </c>
      <c r="X22" s="41">
        <v>9909620343</v>
      </c>
      <c r="Y22" s="41">
        <v>200</v>
      </c>
      <c r="Z22" s="41" t="s">
        <v>5206</v>
      </c>
      <c r="AA22" t="s">
        <v>5209</v>
      </c>
      <c r="AB22" s="41" t="s">
        <v>5217</v>
      </c>
    </row>
    <row r="23" spans="5:35" ht="15.75">
      <c r="O23" s="176"/>
      <c r="P23" s="97" t="s">
        <v>4067</v>
      </c>
      <c r="Q23" s="488" t="s">
        <v>1072</v>
      </c>
      <c r="R23" s="489" t="s">
        <v>1073</v>
      </c>
      <c r="S23" s="488" t="s">
        <v>1074</v>
      </c>
      <c r="T23" s="490" t="s">
        <v>1075</v>
      </c>
      <c r="W23" s="41" t="s">
        <v>5031</v>
      </c>
      <c r="X23" s="41">
        <v>9378807702</v>
      </c>
      <c r="Y23" s="41">
        <v>0</v>
      </c>
      <c r="Z23" s="41">
        <v>0</v>
      </c>
      <c r="AD23" t="s">
        <v>25</v>
      </c>
    </row>
    <row r="24" spans="5:35">
      <c r="O24" s="97"/>
      <c r="P24" s="97"/>
      <c r="Q24" s="488"/>
      <c r="R24" s="489"/>
      <c r="S24" s="488"/>
      <c r="T24" s="490"/>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1460</v>
      </c>
      <c r="H4" s="115">
        <f>C4*G4</f>
        <v>430700000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463361461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1460</v>
      </c>
      <c r="H19" s="115">
        <f>C19*G19</f>
        <v>18886560</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325400888</v>
      </c>
    </row>
    <row r="26" spans="1:8">
      <c r="D26" t="s">
        <v>5385</v>
      </c>
      <c r="E26" s="112">
        <f>'خرید خانه'!H10+'خرید خانه'!H23-'خرید خانه'!D10-'خرید خانه'!D23</f>
        <v>487062349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2022-01-05T10:56:07Z</dcterms:modified>
</cp:coreProperties>
</file>