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26" i="18" l="1"/>
  <c r="K95" i="63"/>
  <c r="K119" i="63"/>
  <c r="M359" i="52"/>
  <c r="M358" i="52"/>
  <c r="S143" i="18"/>
  <c r="S142" i="18"/>
  <c r="W353" i="18"/>
  <c r="G90" i="63"/>
  <c r="H90" i="63"/>
  <c r="I90" i="63"/>
  <c r="G89" i="63"/>
  <c r="H89" i="63"/>
  <c r="I89" i="63"/>
  <c r="D134" i="63"/>
  <c r="W352" i="18" l="1"/>
  <c r="R392" i="18" l="1"/>
  <c r="W351" i="18"/>
  <c r="M192" i="18" l="1"/>
  <c r="L192" i="18"/>
  <c r="W350" i="18"/>
  <c r="L52" i="18" l="1"/>
  <c r="W349" i="18"/>
  <c r="K115" i="63"/>
  <c r="K116" i="63"/>
  <c r="G88" i="63"/>
  <c r="H88" i="63"/>
  <c r="I88" i="63"/>
  <c r="U358" i="18" l="1"/>
  <c r="W348" i="18"/>
  <c r="D140" i="58" l="1"/>
  <c r="M191" i="18" l="1"/>
  <c r="L191" i="18"/>
  <c r="I175" i="18"/>
  <c r="G175" i="18"/>
  <c r="M190" i="18" l="1"/>
  <c r="L190" i="18"/>
  <c r="G94" i="63"/>
  <c r="H94" i="63"/>
  <c r="I94" i="63"/>
  <c r="F95" i="63"/>
  <c r="C95" i="63"/>
  <c r="I95" i="63" l="1"/>
  <c r="G95" i="63"/>
  <c r="H95" i="63"/>
  <c r="L187" i="18"/>
  <c r="M187" i="18"/>
  <c r="L188" i="18"/>
  <c r="M188" i="18"/>
  <c r="L189" i="18"/>
  <c r="M189" i="18"/>
  <c r="L194" i="18"/>
  <c r="M194"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27" i="18"/>
  <c r="AL408" i="18" l="1"/>
  <c r="AM409" i="18"/>
  <c r="F119" i="63"/>
  <c r="C119" i="63"/>
  <c r="W344" i="18"/>
  <c r="AM408" i="18" l="1"/>
  <c r="AL407" i="18"/>
  <c r="I119" i="63"/>
  <c r="G119" i="63"/>
  <c r="H119" i="63"/>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1" i="18" s="1"/>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W141" i="18" l="1"/>
  <c r="X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<sst xmlns="http://schemas.openxmlformats.org/spreadsheetml/2006/main" count="13837" uniqueCount="5673">
  <si>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</si>
  <si>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</si>
  <si>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</si>
  <si>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</si>
  <si>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</si>
  <si>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</si>
  <si>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</si>
  <si>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</si>
  <si>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</si>
  <si>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</si>
  <si>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</si>
  <si>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</si>
  <si>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</si>
  <si>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</si>
  <si>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</si>
  <si>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</si>
  <si>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</si>
  <si>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</si>
  <si>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</si>
  <si>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</si>
  <si>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</si>
  <si>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</si>
  <si>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</si>
  <si>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</si>
  <si>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</si>
  <si>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</si>
  <si>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</si>
  <si>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</si>
  <si>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</si>
  <si>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</si>
  <si>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</si>
  <si>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</si>
  <si>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</si>
  <si>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</si>
  <si>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</si>
  <si>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</si>
  <si>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</si>
  <si>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</si>
  <si>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</si>
  <si>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</si>
  <si>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</si>
  <si>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</si>
  <si>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</si>
  <si>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</si>
  <si>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</si>
  <si>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</si>
  <si>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</si>
  <si>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</si>
  <si>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</si>
  <si>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</si>
  <si>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</si>
  <si>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</si>
  <si>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</si>
  <si>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</si>
  <si>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</si>
  <si>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</si>
  <si>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</si>
  <si>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</si>
  <si>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</si>
  <si>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</si>
  <si>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</si>
  <si>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</si>
  <si>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</si>
  <si>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</si>
  <si>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</si>
  <si>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</si>
  <si>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</si>
  <si>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</si>
  <si>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</si>
  <si>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</si>
  <si>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</si>
  <si>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</si>
  <si>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</si>
  <si>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</si>
  <si>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</si>
  <si>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</si>
  <si>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</si>
  <si>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</si>
  <si>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</si>
  <si>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</si>
  <si>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</si>
  <si>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</si>
  <si>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</si>
  <si>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</si>
  <si>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</si>
  <si>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</si>
  <si>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</si>
  <si>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</si>
  <si>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</si>
  <si>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</si>
  <si>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</si>
  <si>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</si>
  <si>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</si>
  <si>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</si>
  <si>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</si>
  <si>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</si>
  <si>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</si>
  <si>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</si>
  <si>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</si>
  <si>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</si>
  <si>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</si>
  <si>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</si>
  <si>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</si>
  <si>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</si>
  <si>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</si>
  <si>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</si>
  <si>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</si>
  <si>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</si>
  <si>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</si>
  <si>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</si>
  <si>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</si>
  <si>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</si>
  <si>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</si>
  <si>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</si>
  <si>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</si>
  <si>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</si>
  <si>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</si>
  <si>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</si>
  <si>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</si>
  <si>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</si>
  <si>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</si>
  <si>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</si>
  <si>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</si>
  <si>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</si>
  <si>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</si>
  <si>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</si>
  <si>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</si>
  <si>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</si>
  <si>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</si>
  <si>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</si>
  <si>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</si>
  <si>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</si>
  <si>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</si>
  <si>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</si>
  <si>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</si>
  <si>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</si>
  <si>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</si>
  <si>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</si>
  <si>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</si>
  <si>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</si>
  <si>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</si>
  <si>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</si>
  <si>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</si>
  <si>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</si>
  <si>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</si>
  <si>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</si>
  <si>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</si>
  <si>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</si>
  <si>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</si>
  <si>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</si>
  <si>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</si>
  <si>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</si>
  <si>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</si>
  <si>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</si>
  <si>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</si>
  <si>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</si>
  <si>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</si>
  <si>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</si>
  <si>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</si>
  <si>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</si>
  <si>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</si>
  <si>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</si>
  <si>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</si>
  <si>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</si>
  <si>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</si>
  <si>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</si>
  <si>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</si>
  <si>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</si>
  <si>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</si>
  <si>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</si>
  <si>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</si>
  <si>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</si>
  <si>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</si>
  <si>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</si>
  <si>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</si>
  <si>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</si>
  <si>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</si>
  <si>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</si>
  <si>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</si>
  <si>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</si>
  <si>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</si>
  <si>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</si>
  <si>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</si>
  <si>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</si>
  <si>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</si>
  <si>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</si>
  <si>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</si>
  <si>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</si>
  <si>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</si>
  <si>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</si>
  <si>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</si>
  <si>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</si>
  <si>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</si>
  <si>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</si>
  <si>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</si>
  <si>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</si>
  <si>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</si>
  <si>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</si>
  <si>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</si>
  <si>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</si>
  <si>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</si>
  <si>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</si>
  <si>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</si>
  <si>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</si>
  <si>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</si>
  <si>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</si>
  <si>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</si>
  <si>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</si>
  <si>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</si>
  <si>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</si>
  <si>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</si>
  <si>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</si>
  <si>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</si>
  <si>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</si>
  <si>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</si>
  <si>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</si>
  <si>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</si>
  <si>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</si>
  <si>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</si>
  <si>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</si>
  <si>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</si>
  <si>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</si>
  <si>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</si>
  <si>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</si>
  <si>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</si>
  <si>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</si>
  <si>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</si>
  <si>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</si>
  <si>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</si>
  <si>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</si>
  <si>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</si>
  <si>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</si>
  <si>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</si>
  <si>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</si>
  <si>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</si>
  <si>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</si>
  <si>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</si>
  <si>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</si>
  <si>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</si>
  <si>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</si>
  <si>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</si>
  <si>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</si>
  <si>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</si>
  <si>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</si>
  <si>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</si>
  <si>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</si>
  <si>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</si>
  <si>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</si>
  <si>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</si>
  <si>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</si>
  <si>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</si>
  <si>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</si>
  <si>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</si>
  <si>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</si>
  <si>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</si>
  <si>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</si>
  <si>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</si>
  <si>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</si>
  <si>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</si>
  <si>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</si>
  <si>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</si>
  <si>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</si>
  <si>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</si>
  <si>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</si>
  <si>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</si>
  <si>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</si>
  <si>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</si>
  <si>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</si>
  <si>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</si>
  <si>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</si>
  <si>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</si>
  <si>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</si>
  <si>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</si>
  <si>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</si>
  <si>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</si>
  <si>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</si>
  <si>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</si>
  <si>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</si>
  <si>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</si>
  <si>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</si>
  <si>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</si>
  <si>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</si>
  <si>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</si>
  <si>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</si>
  <si>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</si>
  <si>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</si>
  <si>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</si>
  <si>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</si>
  <si>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</si>
  <si>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</si>
  <si>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</si>
  <si>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</si>
  <si>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</si>
  <si>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</si>
  <si>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</si>
  <si>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</si>
  <si>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</si>
  <si>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</si>
  <si>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</si>
  <si>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</si>
  <si>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</si>
  <si>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</si>
  <si>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</si>
  <si>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</si>
  <si>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</si>
  <si>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</si>
  <si>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</si>
  <si>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</si>
  <si>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</si>
  <si>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</si>
  <si>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</si>
  <si>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</si>
  <si>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</si>
  <si>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</si>
  <si>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</si>
  <si>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</si>
  <si>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</si>
  <si>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</si>
  <si>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</si>
  <si>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</si>
  <si>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</si>
  <si>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</si>
  <si>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</si>
  <si>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</si>
  <si>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</si>
  <si>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</si>
  <si>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</si>
  <si>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</si>
  <si>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</si>
  <si>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</si>
  <si>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</si>
  <si>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</si>
  <si>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</si>
  <si>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</si>
  <si>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</si>
  <si>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</si>
  <si>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</si>
  <si>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</si>
  <si>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</si>
  <si>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</si>
  <si>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</si>
  <si>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</si>
  <si>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</si>
  <si>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</si>
  <si>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</si>
  <si>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</si>
  <si>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</si>
  <si>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</si>
  <si>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</si>
  <si>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</si>
  <si>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</si>
  <si>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</si>
  <si>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</si>
  <si>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</si>
  <si>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</si>
  <si>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</si>
  <si>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</si>
  <si>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</si>
  <si>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</si>
  <si>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</si>
  <si>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</si>
  <si>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</si>
  <si>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</si>
  <si>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</si>
  <si>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</si>
  <si>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</si>
  <si>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</si>
  <si>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</si>
  <si>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</si>
  <si>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</si>
  <si>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</si>
  <si>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</si>
  <si>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</si>
  <si>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</si>
  <si>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</si>
  <si>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</si>
  <si>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</si>
  <si>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</si>
  <si>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</si>
  <si>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</si>
  <si>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</si>
  <si>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</si>
  <si>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</si>
  <si>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</si>
  <si>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</si>
  <si>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</si>
  <si>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</si>
  <si>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</si>
  <si>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</si>
  <si>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</si>
  <si>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</si>
  <si>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</si>
  <si>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</si>
  <si>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</si>
  <si>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</si>
  <si>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</si>
  <si>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</si>
  <si>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</si>
  <si>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</si>
  <si>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</si>
  <si>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</si>
  <si>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</si>
  <si>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</si>
  <si>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</si>
  <si>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</si>
  <si>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</si>
  <si>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</si>
  <si>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</si>
  <si>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</si>
  <si>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</si>
  <si>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</si>
  <si>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</si>
  <si>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</si>
  <si>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</si>
  <si>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</si>
  <si>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</si>
  <si>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</si>
  <si>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</si>
  <si>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</si>
  <si>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</si>
  <si>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</si>
  <si>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</si>
  <si>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</si>
  <si>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</si>
  <si>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</si>
  <si>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</si>
  <si>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</si>
  <si>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</si>
  <si>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</si>
  <si>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</si>
  <si>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</si>
  <si>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</si>
  <si>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</si>
  <si>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</si>
  <si>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</si>
  <si>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</si>
  <si>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</si>
  <si>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</si>
  <si>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</si>
  <si>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</si>
  <si>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</si>
  <si>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</si>
  <si>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</si>
  <si>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</si>
  <si>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</si>
  <si>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</si>
  <si>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</si>
  <si>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</si>
  <si>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</si>
  <si>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</si>
  <si>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</si>
  <si>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</si>
  <si>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</si>
  <si>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</si>
  <si>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</si>
  <si>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</si>
  <si>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</si>
  <si>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</si>
  <si>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</si>
  <si>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</si>
  <si>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</si>
  <si>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</si>
  <si>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</si>
  <si>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</si>
  <si>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</si>
  <si>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</si>
  <si>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</si>
  <si>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</si>
  <si>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</si>
  <si>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</si>
  <si>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</si>
  <si>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</si>
  <si>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</si>
  <si>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</si>
  <si>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</si>
  <si>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</si>
  <si>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</si>
  <si>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</si>
  <si>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</si>
  <si>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</si>
  <si>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</si>
  <si>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</si>
  <si>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</si>
  <si>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</si>
  <si>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</si>
  <si>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</si>
  <si>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</si>
  <si>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</si>
  <si>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</si>
  <si>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</si>
  <si>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</si>
  <si>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</si>
  <si>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</si>
  <si>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</si>
  <si>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</si>
  <si>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</si>
  <si>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</si>
  <si>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</si>
  <si>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</si>
  <si>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</si>
  <si>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</si>
  <si>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</si>
  <si>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</si>
  <si>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</si>
  <si>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</si>
  <si>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</si>
  <si>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</si>
  <si>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</si>
  <si>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</si>
  <si>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</si>
  <si>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</si>
  <si>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</si>
  <si>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</si>
  <si>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</si>
  <si>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</si>
  <si>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</si>
  <si>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</si>
  <si>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</si>
  <si>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</si>
  <si>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</si>
  <si>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</si>
  <si>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</si>
  <si>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</si>
  <si>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</si>
  <si>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</si>
  <si>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</si>
  <si>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</si>
  <si>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</si>
  <si>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</si>
  <si>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</si>
  <si>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</si>
  <si>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</si>
  <si>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</si>
  <si>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</si>
  <si>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</si>
  <si>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</si>
  <si>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</si>
  <si>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</si>
  <si>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</si>
  <si>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</si>
  <si>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</si>
  <si>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</si>
  <si>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</si>
  <si>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</si>
  <si>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</si>
  <si>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</si>
  <si>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</si>
  <si>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</si>
  <si>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</si>
  <si>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</si>
  <si>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</si>
  <si>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</si>
  <si>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</si>
  <si>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</si>
  <si>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</si>
  <si>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</si>
  <si>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</si>
  <si>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</si>
  <si>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</si>
  <si>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</si>
  <si>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</si>
  <si>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</si>
  <si>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</si>
  <si>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</si>
  <si>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</si>
  <si>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</si>
  <si>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</si>
  <si>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</si>
  <si>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</si>
  <si>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</si>
  <si>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</si>
  <si>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</si>
  <si>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</si>
  <si>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</si>
  <si>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</si>
  <si>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</si>
  <si>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</si>
  <si>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</si>
  <si>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</si>
  <si>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</si>
  <si>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</si>
  <si>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</si>
  <si>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</si>
  <si>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</si>
  <si>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</si>
  <si>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</si>
  <si>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</si>
  <si>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</si>
  <si>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</si>
  <si>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</si>
  <si>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</si>
  <si>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</si>
  <si>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</si>
  <si>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</si>
  <si>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</si>
  <si>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</si>
  <si>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</si>
  <si>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</si>
  <si>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</si>
  <si>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</si>
  <si>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</si>
  <si>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</si>
  <si>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</si>
  <si>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</si>
  <si>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</si>
  <si>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</si>
  <si>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</si>
  <si>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</si>
  <si>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</si>
  <si>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</si>
  <si>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</si>
  <si>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</si>
  <si>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</si>
  <si>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</si>
  <si>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</si>
  <si>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</si>
  <si>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</si>
  <si>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</si>
  <si>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</si>
  <si>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</si>
  <si>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</si>
  <si>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</si>
  <si>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</si>
  <si>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</si>
  <si>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</si>
  <si>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</si>
  <si>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</si>
  <si>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</si>
  <si>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</si>
  <si>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</si>
  <si>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</si>
  <si>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</si>
  <si>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</si>
  <si>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</si>
  <si>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</si>
  <si>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</si>
  <si>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</si>
  <si>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</si>
  <si>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</si>
  <si>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</si>
  <si>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</si>
  <si>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</si>
  <si>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</si>
  <si>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</si>
  <si>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</si>
  <si>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</si>
  <si>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</si>
  <si>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</si>
  <si>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</si>
  <si>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</si>
  <si>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</si>
  <si>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</si>
  <si>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</si>
  <si>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</si>
  <si>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</si>
  <si>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</si>
  <si>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</si>
  <si>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</si>
  <si>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</si>
  <si>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</si>
  <si>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</si>
  <si>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</si>
  <si>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</si>
  <si>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</si>
  <si>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</si>
  <si>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</si>
  <si>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</si>
  <si>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</si>
  <si>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</si>
  <si>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</si>
  <si>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</si>
  <si>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</si>
  <si>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</si>
  <si>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</si>
  <si>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</si>
  <si>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</si>
  <si>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</si>
  <si>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</si>
  <si>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</si>
  <si>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</si>
  <si>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</si>
  <si>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</si>
  <si>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</si>
  <si>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</si>
  <si>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</si>
  <si>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</si>
  <si>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</si>
  <si>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</si>
  <si>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</si>
  <si>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</si>
  <si>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</si>
  <si>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</si>
  <si>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</si>
  <si>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</si>
  <si>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</si>
  <si>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</si>
  <si>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</si>
  <si>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</si>
  <si>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</si>
  <si>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</si>
  <si>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</si>
  <si>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</si>
  <si>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</si>
  <si>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</si>
  <si>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</si>
  <si>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</si>
  <si>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</si>
  <si>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</si>
  <si>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</si>
  <si>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</si>
  <si>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</si>
  <si>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</si>
  <si>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</si>
  <si>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</si>
  <si>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</si>
  <si>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</si>
  <si>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</si>
  <si>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</si>
  <si>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</si>
  <si>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</si>
  <si>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</si>
  <si>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</si>
  <si>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</si>
  <si>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</si>
  <si>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</si>
  <si>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</si>
  <si>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</si>
  <si>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</si>
  <si>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</si>
  <si>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</si>
  <si>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</si>
  <si>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</si>
  <si>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</si>
  <si>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</si>
  <si>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</si>
  <si>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</si>
  <si>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</si>
  <si>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</si>
  <si>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</si>
  <si>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</si>
  <si>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</si>
  <si>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</si>
  <si>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</si>
  <si>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</si>
  <si>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</si>
  <si>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</si>
  <si>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</si>
  <si>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</si>
  <si>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</si>
  <si>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</si>
  <si>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</si>
  <si>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</si>
  <si>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</si>
  <si>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</si>
  <si>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</si>
  <si>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</si>
  <si>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</si>
  <si>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</si>
  <si>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</si>
  <si>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</si>
  <si>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</si>
  <si>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</si>
  <si>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</si>
  <si>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</si>
  <si>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</si>
  <si>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</si>
  <si>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</si>
  <si>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</si>
  <si>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</si>
  <si>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</si>
  <si>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</si>
  <si>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</si>
  <si>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</si>
  <si>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</si>
  <si>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</si>
  <si>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</si>
  <si>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</si>
  <si>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</si>
  <si>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</si>
  <si>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</si>
  <si>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</si>
  <si>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</si>
  <si>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</si>
  <si>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</si>
  <si>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</si>
  <si>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</si>
  <si>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</si>
  <si>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</si>
  <si>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</si>
  <si>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</si>
  <si>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</si>
  <si>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</si>
  <si>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</si>
  <si>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</si>
  <si>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</si>
  <si>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</si>
  <si>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</si>
  <si>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</si>
  <si>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</si>
  <si>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</si>
  <si>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</si>
  <si>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</si>
  <si>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</si>
  <si>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</si>
  <si>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</si>
  <si>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</si>
  <si>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</si>
  <si>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</si>
  <si>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</si>
  <si>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</si>
  <si>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</si>
  <si>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</si>
  <si>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</si>
  <si>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</si>
  <si>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</si>
  <si>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</si>
  <si>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</si>
  <si>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</si>
  <si>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</si>
  <si>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</si>
  <si>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</si>
  <si>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</si>
  <si>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</si>
  <si>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</si>
  <si>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</si>
  <si>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</si>
  <si>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</si>
  <si>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</si>
  <si>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</si>
  <si>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</si>
  <si>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</si>
  <si>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</si>
  <si>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</si>
  <si>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</si>
  <si>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</si>
  <si>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</si>
  <si>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</si>
  <si>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</si>
  <si>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</si>
  <si>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</si>
  <si>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</si>
  <si>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</si>
  <si>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</si>
  <si>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</si>
  <si>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</si>
  <si>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</si>
  <si>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</si>
  <si>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</si>
  <si>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</si>
  <si>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</si>
  <si>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</si>
  <si>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</si>
  <si>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</si>
  <si>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</si>
  <si>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</si>
  <si>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</si>
  <si>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</si>
  <si>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</si>
  <si>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</si>
  <si>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</si>
  <si>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</si>
  <si>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</si>
  <si>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</si>
  <si>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</si>
  <si>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</si>
  <si>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</si>
  <si>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</si>
  <si>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</si>
  <si>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</si>
  <si>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</si>
  <si>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</si>
  <si>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</si>
  <si>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</si>
  <si>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</si>
  <si>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</si>
  <si>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</si>
  <si>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</si>
  <si>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</si>
  <si>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</si>
  <si>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</si>
  <si>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</si>
  <si>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</si>
  <si>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</si>
  <si>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</si>
  <si>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</si>
  <si>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</si>
  <si>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</si>
  <si>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</si>
  <si>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</si>
  <si>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</si>
  <si>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</si>
  <si>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</si>
  <si>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</si>
  <si>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</si>
  <si>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</si>
  <si>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</si>
  <si>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</si>
  <si>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</si>
  <si>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</si>
  <si>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</si>
  <si>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</si>
  <si>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</si>
  <si>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</si>
  <si>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</si>
  <si>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</si>
  <si>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</si>
  <si>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</si>
  <si>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</si>
  <si>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</si>
  <si>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</si>
  <si>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</si>
  <si>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</si>
  <si>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</si>
  <si>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</si>
  <si>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</si>
  <si>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</si>
  <si>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</si>
  <si>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</si>
  <si>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</si>
  <si>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</si>
  <si>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</si>
  <si>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</si>
  <si>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</si>
  <si>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</si>
  <si>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</si>
  <si>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</si>
  <si>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</si>
  <si>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</si>
  <si>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</si>
  <si>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</si>
  <si>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</si>
  <si>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</si>
  <si>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</si>
  <si>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</si>
  <si>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</si>
  <si>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</si>
  <si>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</si>
  <si>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</si>
  <si>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</si>
  <si>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</si>
  <si>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</si>
  <si>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</si>
  <si>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</si>
  <si>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</si>
  <si>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</si>
  <si>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</si>
  <si>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</si>
  <si>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</si>
  <si>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</si>
  <si>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</si>
  <si>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</si>
  <si>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</si>
  <si>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</si>
  <si>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</si>
  <si>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</si>
  <si>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</si>
  <si>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</si>
  <si>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</si>
  <si>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</si>
  <si>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</si>
  <si>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</si>
  <si>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</si>
  <si>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</si>
  <si>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</si>
  <si>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</si>
  <si>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</si>
  <si>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</si>
  <si>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</si>
  <si>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</si>
  <si>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</si>
  <si>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</si>
  <si>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</si>
  <si>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</si>
  <si>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</si>
  <si>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</si>
  <si>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</si>
  <si>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</si>
  <si>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</si>
  <si>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</si>
  <si>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</si>
  <si>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</si>
  <si>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</si>
  <si>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</si>
  <si>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</si>
  <si>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</si>
  <si>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</si>
  <si>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</si>
  <si>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</si>
  <si>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</si>
  <si>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</si>
  <si>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</si>
  <si>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</si>
  <si>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</si>
  <si>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</si>
  <si>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</si>
  <si>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</si>
  <si>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</si>
  <si>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</si>
  <si>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</si>
  <si>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</si>
  <si>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</si>
  <si>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</si>
  <si>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</si>
  <si>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</si>
  <si>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</si>
  <si>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</si>
  <si>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</si>
  <si>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</si>
  <si>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</si>
  <si>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</si>
  <si>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</si>
  <si>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</si>
  <si>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</si>
  <si>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</si>
  <si>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</si>
  <si>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</si>
  <si>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</si>
  <si>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</si>
  <si>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</si>
  <si>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</si>
  <si>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</si>
  <si>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</si>
  <si>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</si>
  <si>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</si>
  <si>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</si>
  <si>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</si>
  <si>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</si>
  <si>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</si>
  <si>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</si>
  <si>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</si>
  <si>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</si>
  <si>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</si>
  <si>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</si>
  <si>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</si>
  <si>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</si>
  <si>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</si>
  <si>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</si>
  <si>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</si>
  <si>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</si>
  <si>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</si>
  <si>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</si>
  <si>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</si>
  <si>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</si>
  <si>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</si>
  <si>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</si>
  <si>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</si>
  <si>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</si>
  <si>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</si>
  <si>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</si>
  <si>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</si>
  <si>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</si>
  <si>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</si>
  <si>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</si>
  <si>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</si>
  <si>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</si>
  <si>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</si>
  <si>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</si>
  <si>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</si>
  <si>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</si>
  <si>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</si>
  <si>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</si>
  <si>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</si>
  <si>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</si>
  <si>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</si>
  <si>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</si>
  <si>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</si>
  <si>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</si>
  <si>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</si>
  <si>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</si>
  <si>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</si>
  <si>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</si>
  <si>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</si>
  <si>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</si>
  <si>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</si>
  <si>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</si>
  <si>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</si>
  <si>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</si>
  <si>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</si>
  <si>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</si>
  <si>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</si>
  <si>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</si>
  <si>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</si>
  <si>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</si>
  <si>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</si>
  <si>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</si>
  <si>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</si>
  <si>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</si>
  <si>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</si>
  <si>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</si>
  <si>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</si>
  <si>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</si>
  <si>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</si>
  <si>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</si>
  <si>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</si>
  <si>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</si>
  <si>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</si>
  <si>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</si>
  <si>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</si>
  <si>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</si>
  <si>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</si>
  <si>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</si>
  <si>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</si>
  <si>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</si>
  <si>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</si>
  <si>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</si>
  <si>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</si>
  <si>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</si>
  <si>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</si>
  <si>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</si>
  <si>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</si>
  <si>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</si>
  <si>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</si>
  <si>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</si>
  <si>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</si>
  <si>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</si>
  <si>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</si>
  <si>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</si>
  <si>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</si>
  <si>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</si>
  <si>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</si>
  <si>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</si>
  <si>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</si>
  <si>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</si>
  <si>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</si>
  <si>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</si>
  <si>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</si>
  <si>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</si>
  <si>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</si>
  <si>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</si>
  <si>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</si>
  <si>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</si>
  <si>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</si>
  <si>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</si>
  <si>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</si>
  <si>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</si>
  <si>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</si>
  <si>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</si>
  <si>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</si>
  <si>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</si>
  <si>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</si>
  <si>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</si>
  <si>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</si>
  <si>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</si>
  <si>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</si>
  <si>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</si>
  <si>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</si>
  <si>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</si>
  <si>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</si>
  <si>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</si>
  <si>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</si>
  <si>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</si>
  <si>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</si>
  <si>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</si>
  <si>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</si>
  <si>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</si>
  <si>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</si>
  <si>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</si>
  <si>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</si>
  <si>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</si>
  <si>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</si>
  <si>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</si>
  <si>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</si>
  <si>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</si>
  <si>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</si>
  <si>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</si>
  <si>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</si>
  <si>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</si>
  <si>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</si>
  <si>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</si>
  <si>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</si>
  <si>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</si>
  <si>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</si>
  <si>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</si>
  <si>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</si>
  <si>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</si>
  <si>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</si>
  <si>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</si>
  <si>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</si>
  <si>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</si>
  <si>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</si>
  <si>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</si>
  <si>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</si>
  <si>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</si>
  <si>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</si>
  <si>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</si>
  <si>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</si>
  <si>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</si>
  <si>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</si>
  <si>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</si>
  <si>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</si>
  <si>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</si>
  <si>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</si>
  <si>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</si>
  <si>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</si>
  <si>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</si>
  <si>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</si>
  <si>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</si>
  <si>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</si>
  <si>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</si>
  <si>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</si>
  <si>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</si>
  <si>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</si>
  <si>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</si>
  <si>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</si>
  <si>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</si>
  <si>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</si>
  <si>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</si>
  <si>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</si>
  <si>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</si>
  <si>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</si>
  <si>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</si>
  <si>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</si>
  <si>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</si>
  <si>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</si>
  <si>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</si>
  <si>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</si>
  <si>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</si>
  <si>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</si>
  <si>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</si>
  <si>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</si>
  <si>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</si>
  <si>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</si>
  <si>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</si>
  <si>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</si>
  <si>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</si>
  <si>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</si>
  <si>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</si>
  <si>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</si>
  <si>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</si>
  <si>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</si>
  <si>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</si>
  <si>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</si>
  <si>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</si>
  <si>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</si>
  <si>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</si>
  <si>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</si>
  <si>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</si>
  <si>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</si>
  <si>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</si>
  <si>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</si>
  <si>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</si>
  <si>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</si>
  <si>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</si>
  <si>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</si>
  <si>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</si>
  <si>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</si>
  <si>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</si>
  <si>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</si>
  <si>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</si>
  <si>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</si>
  <si>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</si>
  <si>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</si>
  <si>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</si>
  <si>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</si>
  <si>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</si>
  <si>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</si>
  <si>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</si>
  <si>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</si>
  <si>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</si>
  <si>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</si>
  <si>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</si>
  <si>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</si>
  <si>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</si>
  <si>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</si>
  <si>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</si>
  <si>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</si>
  <si>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</si>
  <si>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</si>
  <si>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</si>
  <si>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</si>
  <si>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</si>
  <si>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</si>
  <si>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</si>
  <si>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</si>
  <si>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</si>
  <si>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</si>
  <si>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</si>
  <si>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</si>
  <si>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</si>
  <si>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</si>
  <si>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</si>
  <si>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</si>
  <si>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</si>
  <si>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</si>
  <si>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</si>
  <si>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</si>
  <si>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</si>
  <si>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</si>
  <si>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</si>
  <si>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</si>
  <si>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</si>
  <si>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</si>
  <si>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</si>
  <si>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</si>
  <si>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</si>
  <si>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</si>
  <si>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</si>
  <si>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</si>
  <si>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</si>
  <si>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</si>
  <si>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</si>
  <si>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</si>
  <si>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</si>
  <si>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</si>
  <si>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</si>
  <si>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</si>
  <si>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</si>
  <si>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</si>
  <si>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</si>
  <si>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</si>
  <si>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</si>
  <si>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</si>
  <si>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</si>
  <si>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</si>
  <si>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</si>
  <si>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</si>
  <si>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</si>
  <si>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</si>
  <si>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</si>
  <si>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</si>
  <si>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</si>
  <si>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</si>
  <si>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</si>
  <si>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</si>
  <si>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</si>
  <si>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</si>
  <si>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</si>
  <si>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</si>
  <si>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</si>
  <si>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</si>
  <si>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</si>
  <si>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</si>
  <si>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</si>
  <si>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</si>
  <si>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</si>
  <si>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</si>
  <si>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</si>
  <si>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</si>
  <si>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</si>
  <si>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</si>
  <si>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</si>
  <si>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</si>
  <si>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</si>
  <si>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</si>
  <si>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</si>
  <si>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</si>
  <si>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</si>
  <si>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</si>
  <si>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</si>
  <si>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</si>
  <si>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</si>
  <si>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</si>
  <si>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</si>
  <si>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</si>
  <si>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</si>
  <si>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</si>
  <si>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</si>
  <si>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</si>
  <si>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</si>
  <si>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</si>
  <si>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</si>
  <si>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</si>
  <si>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</si>
  <si>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</si>
  <si>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</si>
  <si>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</si>
  <si>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</si>
  <si>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</si>
  <si>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</si>
  <si>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</si>
  <si>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</si>
  <si>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</si>
  <si>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</si>
  <si>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</si>
  <si>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</si>
  <si>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</si>
  <si>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</si>
  <si>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</si>
  <si>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</si>
  <si>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</si>
  <si>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</si>
  <si>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</si>
  <si>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</si>
  <si>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</si>
  <si>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</si>
  <si>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</si>
  <si>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</si>
  <si>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</si>
  <si>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</si>
  <si>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</si>
  <si>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</si>
  <si>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</si>
  <si>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</si>
  <si>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</si>
  <si>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</si>
  <si>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</si>
  <si>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</si>
  <si>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</si>
  <si>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</si>
  <si>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</si>
  <si>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</si>
  <si>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</si>
  <si>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</si>
  <si>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</si>
  <si>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</si>
  <si>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</si>
  <si>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</si>
  <si>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</si>
  <si>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</si>
  <si>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</si>
  <si>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</si>
  <si>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</si>
  <si>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</si>
  <si>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</si>
  <si>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</si>
  <si>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</si>
  <si>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</si>
  <si>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</si>
  <si>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</si>
  <si>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</si>
  <si>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</si>
  <si>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</si>
  <si>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</si>
  <si>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</si>
  <si>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</si>
  <si>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</si>
  <si>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</si>
  <si>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</si>
  <si>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</si>
  <si>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</si>
  <si>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</si>
  <si>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</si>
  <si>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</si>
  <si>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</si>
  <si>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</si>
  <si>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</si>
  <si>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</si>
  <si>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</si>
  <si>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</si>
  <si>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</si>
  <si>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</si>
  <si>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</si>
  <si>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</si>
  <si>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</si>
  <si>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</si>
  <si>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</si>
  <si>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</si>
  <si>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</si>
  <si>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</si>
  <si>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</si>
  <si>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</si>
  <si>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</si>
  <si>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</si>
  <si>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</si>
  <si>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</si>
  <si>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</si>
  <si>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</si>
  <si>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</si>
  <si>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</si>
  <si>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</si>
  <si>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</si>
  <si>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</si>
  <si>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</si>
  <si>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</si>
  <si>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</si>
  <si>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</si>
  <si>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</si>
  <si>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</si>
  <si>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</si>
  <si>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</si>
  <si>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</si>
  <si>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</si>
  <si>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</si>
  <si>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</si>
  <si>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</si>
  <si>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</si>
  <si>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</si>
  <si>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</si>
  <si>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</si>
  <si>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</si>
  <si>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</si>
  <si>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</si>
  <si>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</si>
  <si>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</si>
  <si>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</si>
  <si>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</si>
  <si>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</si>
  <si>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</si>
  <si>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</si>
  <si>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</si>
  <si>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</si>
  <si>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</si>
  <si>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</si>
  <si>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</si>
  <si>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</si>
  <si>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</si>
  <si>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</si>
  <si>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</si>
  <si>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</si>
  <si>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</si>
  <si>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</si>
  <si>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</si>
  <si>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</si>
  <si>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</si>
  <si>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</si>
  <si>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</si>
  <si>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</si>
  <si>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</si>
  <si>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</si>
  <si>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</si>
  <si>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</si>
  <si>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</si>
  <si>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</si>
  <si>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</si>
  <si>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</si>
  <si>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</si>
  <si>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</si>
  <si>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</si>
  <si>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</si>
  <si>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</si>
  <si>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</si>
  <si>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</si>
  <si>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</si>
  <si>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</si>
  <si>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</si>
  <si>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</si>
  <si>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</si>
  <si>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</si>
  <si>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</si>
  <si>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</si>
  <si>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</si>
  <si>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</si>
  <si>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</si>
  <si>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</si>
  <si>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</si>
  <si>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</si>
  <si>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</si>
  <si>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</si>
  <si>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</si>
  <si>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</si>
  <si>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</si>
  <si>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</si>
  <si>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</si>
  <si>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</si>
  <si>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</si>
  <si>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</si>
  <si>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</si>
  <si>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</si>
  <si>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</si>
  <si>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</si>
  <si>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</si>
  <si>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</si>
  <si>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</si>
  <si>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</si>
  <si>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</si>
  <si>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</si>
  <si>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</si>
  <si>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</si>
  <si>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</si>
  <si>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</si>
  <si>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</si>
  <si>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</si>
  <si>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</si>
  <si>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</si>
  <si>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</si>
  <si>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</si>
  <si>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</si>
  <si>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</si>
  <si>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</si>
  <si>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</si>
  <si>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</si>
  <si>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</si>
  <si>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</si>
  <si>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</si>
  <si>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</si>
  <si>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</si>
  <si>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</si>
  <si>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</si>
  <si>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</si>
  <si>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</si>
  <si>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</si>
  <si>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</si>
  <si>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</si>
  <si>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</si>
  <si>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</si>
  <si>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</si>
  <si>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</si>
  <si>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</si>
  <si>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</si>
  <si>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</si>
  <si>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</si>
  <si>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</si>
  <si>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</si>
  <si>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</si>
  <si>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</si>
  <si>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</si>
  <si>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</si>
  <si>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</si>
  <si>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</si>
  <si>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</si>
  <si>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</si>
  <si>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</si>
  <si>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</si>
  <si>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</si>
  <si>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</si>
  <si>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</si>
  <si>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</si>
  <si>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</si>
  <si>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</si>
  <si>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</si>
  <si>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</si>
  <si>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</si>
  <si>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</si>
  <si>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</si>
  <si>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</si>
  <si>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</si>
  <si>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</si>
  <si>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</si>
  <si>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</si>
  <si>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</si>
  <si>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</si>
  <si>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</si>
  <si>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</si>
  <si>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</si>
  <si>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</si>
  <si>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</si>
  <si>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</si>
  <si>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</si>
  <si>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</si>
  <si>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</si>
  <si>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</si>
  <si>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</si>
  <si>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</si>
  <si>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</si>
  <si>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</si>
  <si>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</si>
  <si>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</si>
  <si>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</si>
  <si>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</si>
  <si>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</si>
  <si>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</si>
  <si>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</si>
  <si>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</si>
  <si>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</si>
  <si>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</si>
  <si>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</si>
  <si>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</si>
  <si>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</si>
  <si>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</si>
  <si>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</si>
  <si>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</si>
  <si>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</si>
  <si>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</si>
  <si>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</si>
  <si>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</si>
  <si>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</si>
  <si>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</si>
  <si>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</si>
  <si>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</si>
  <si>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</si>
  <si>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</si>
  <si>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</si>
  <si>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</si>
  <si>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</si>
  <si>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</si>
  <si>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</si>
  <si>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</si>
  <si>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</si>
  <si>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</si>
  <si>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</si>
  <si>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</si>
  <si>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</si>
  <si>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</si>
  <si>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</si>
  <si>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</si>
  <si>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</si>
  <si>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</si>
  <si>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</si>
  <si>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</si>
  <si>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</si>
  <si>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</si>
  <si>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</si>
  <si>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</si>
  <si>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</si>
  <si>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</si>
  <si>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</si>
  <si>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</si>
  <si>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</si>
  <si>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</si>
  <si>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</si>
  <si>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</si>
  <si>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</si>
  <si>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</si>
  <si>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</si>
  <si>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</si>
  <si>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</si>
  <si>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</si>
  <si>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</si>
  <si>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</si>
  <si>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</si>
  <si>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</si>
  <si>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</si>
  <si>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</si>
  <si>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</si>
  <si>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</si>
  <si>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</si>
  <si>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</si>
  <si>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</si>
  <si>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</si>
  <si>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</si>
  <si>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</si>
  <si>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</si>
  <si>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</si>
  <si>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</si>
  <si>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</si>
  <si>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</si>
  <si>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</si>
  <si>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</si>
  <si>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</si>
  <si>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</si>
  <si>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</si>
  <si>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</si>
  <si>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</si>
  <si>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</si>
  <si>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</si>
  <si>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</si>
  <si>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</si>
  <si>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</si>
  <si>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</si>
  <si>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</si>
  <si>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</si>
  <si>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</si>
  <si>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</si>
  <si>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</si>
  <si>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</si>
  <si>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</si>
  <si>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</si>
  <si>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</si>
  <si>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</si>
  <si>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</si>
  <si>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</si>
  <si>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</si>
  <si>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</si>
  <si>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</si>
  <si>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</si>
  <si>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</si>
  <si>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</si>
  <si>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</si>
  <si>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</si>
  <si>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</si>
  <si>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</si>
  <si>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</si>
  <si>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</si>
  <si>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</si>
  <si>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</si>
  <si>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</si>
  <si>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</si>
  <si>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</si>
  <si>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</si>
  <si>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</si>
  <si>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</si>
  <si>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</si>
  <si>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</si>
  <si>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</si>
  <si>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</si>
  <si>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</si>
  <si>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</si>
  <si>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</si>
  <si>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</si>
  <si>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</si>
  <si>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</si>
  <si>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</si>
  <si>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</si>
  <si>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</si>
  <si>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</si>
  <si>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</si>
  <si>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</si>
  <si>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</si>
  <si>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</si>
  <si>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</si>
  <si>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</si>
  <si>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</si>
  <si>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</si>
  <si>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</si>
  <si>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</si>
  <si>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</si>
  <si>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</si>
  <si>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</si>
  <si>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</si>
  <si>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</si>
  <si>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</si>
  <si>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</si>
  <si>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</si>
  <si>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</si>
  <si>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</si>
  <si>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</si>
  <si>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</si>
  <si>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</si>
  <si>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</si>
  <si>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</si>
  <si>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</si>
  <si>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</si>
  <si>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</si>
  <si>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</si>
  <si>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</si>
  <si>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</si>
  <si>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</si>
  <si>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</si>
  <si>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</si>
  <si>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</si>
  <si>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</si>
  <si>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</si>
  <si>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</si>
  <si>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</si>
  <si>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</si>
  <si>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</si>
  <si>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</si>
  <si>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</si>
  <si>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</si>
  <si>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</si>
  <si>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</si>
  <si>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</si>
  <si>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</si>
  <si>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</si>
  <si>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</si>
  <si>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</si>
  <si>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</si>
  <si>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</si>
  <si>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</si>
  <si>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</si>
  <si>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</si>
  <si>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</si>
  <si>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</si>
  <si>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</si>
  <si>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</si>
  <si>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</si>
  <si>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</si>
  <si>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</si>
  <si>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</si>
  <si>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</si>
  <si>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</si>
  <si>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</si>
  <si>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</si>
  <si>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</si>
  <si>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</si>
  <si>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</si>
  <si>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</si>
  <si>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</si>
  <si>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</si>
  <si>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</si>
  <si>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</si>
  <si>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</si>
  <si>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</si>
  <si>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</si>
  <si>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</si>
  <si>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</si>
  <si>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</si>
  <si>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</si>
  <si>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</si>
  <si>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</si>
  <si>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</si>
  <si>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</si>
  <si>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</si>
  <si>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</si>
  <si>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</si>
  <si>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</si>
  <si>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</si>
  <si>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</si>
  <si>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</si>
  <si>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</si>
  <si>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</si>
  <si>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</si>
  <si>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</si>
  <si>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</si>
  <si>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</si>
  <si>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</si>
  <si>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</si>
  <si>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</si>
  <si>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</si>
  <si>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</si>
  <si>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</si>
  <si>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</si>
  <si>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</si>
  <si>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</si>
  <si>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</si>
  <si>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</si>
  <si>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</si>
  <si>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</si>
  <si>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</si>
  <si>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</si>
  <si>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</si>
  <si>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</si>
  <si>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</si>
  <si>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</si>
  <si>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</si>
  <si>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</si>
  <si>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</si>
  <si>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</si>
  <si>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</si>
  <si>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</si>
  <si>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</si>
  <si>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</si>
  <si>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</si>
  <si>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</si>
  <si>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</si>
  <si>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</si>
  <si>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</si>
  <si>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</si>
  <si>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</si>
  <si>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</si>
  <si>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</si>
  <si>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</si>
  <si>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</si>
  <si>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</si>
  <si>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</si>
  <si>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</si>
  <si>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</si>
  <si>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</si>
  <si>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</si>
  <si>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</si>
  <si>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</si>
  <si>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</si>
  <si>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</si>
  <si>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</si>
  <si>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</si>
  <si>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</si>
  <si>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</si>
  <si>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</si>
  <si>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</si>
  <si>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</si>
  <si>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</si>
  <si>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</si>
  <si>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</si>
  <si>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</si>
  <si>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</si>
  <si>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</si>
  <si>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</si>
  <si>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</si>
  <si>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</si>
  <si>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</si>
  <si>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</si>
  <si>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</si>
  <si>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</si>
  <si>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</si>
  <si>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</si>
  <si>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</si>
  <si>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</si>
  <si>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</si>
  <si>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</si>
  <si>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</si>
  <si>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</si>
  <si>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</si>
  <si>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</si>
  <si>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</si>
  <si>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</si>
  <si>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</si>
  <si>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</si>
  <si>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</si>
  <si>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</si>
  <si>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</si>
  <si>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</si>
  <si>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</si>
  <si>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</si>
  <si>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</si>
  <si>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</si>
  <si>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</si>
  <si>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</si>
  <si>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</si>
  <si>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</si>
  <si>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</si>
  <si>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</si>
  <si>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</si>
  <si>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</si>
  <si>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</si>
  <si>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</si>
  <si>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</si>
  <si>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</si>
  <si>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</si>
  <si>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</si>
  <si>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</si>
  <si>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</si>
  <si>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</si>
  <si>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</si>
  <si>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</si>
  <si>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</si>
  <si>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</si>
  <si>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</si>
  <si>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</si>
  <si>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</si>
  <si>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</si>
  <si>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</si>
  <si>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</si>
  <si>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</si>
  <si>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</si>
  <si>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</si>
  <si>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</si>
  <si>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</si>
  <si>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</si>
  <si>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</si>
  <si>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</si>
  <si>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</si>
  <si>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</si>
  <si>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</si>
  <si>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</si>
  <si>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</si>
  <si>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</si>
  <si>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</si>
  <si>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</si>
  <si>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</si>
  <si>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</si>
  <si>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</si>
  <si>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</si>
  <si>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</si>
  <si>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</si>
  <si>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</si>
  <si>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</si>
  <si>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</si>
  <si>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</si>
  <si>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</si>
  <si>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</si>
  <si>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</si>
  <si>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</si>
  <si>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</si>
  <si>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</si>
  <si>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</si>
  <si>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</si>
  <si>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</si>
  <si>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</si>
  <si>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</si>
  <si>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</si>
  <si>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</si>
  <si>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</si>
  <si>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</si>
  <si>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</si>
  <si>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</si>
  <si>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</si>
  <si>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</si>
  <si>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</si>
  <si>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</si>
  <si>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</si>
  <si>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</si>
  <si>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</si>
  <si>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</si>
  <si>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</si>
  <si>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</si>
  <si>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</si>
  <si>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</si>
  <si>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</si>
  <si>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</si>
  <si>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</si>
  <si>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</si>
  <si>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</si>
  <si>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</si>
  <si>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</si>
  <si>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</si>
  <si>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</si>
  <si>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</si>
  <si>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</si>
  <si>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</si>
  <si>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</si>
  <si>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</si>
  <si>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</si>
  <si>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</si>
  <si>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</si>
  <si>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</si>
  <si>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</si>
  <si>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</si>
  <si>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</si>
  <si>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</si>
  <si>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</si>
  <si>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</si>
  <si>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</si>
  <si>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</si>
  <si>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</si>
  <si>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</si>
  <si>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</si>
  <si>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</si>
  <si>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</si>
  <si>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</si>
  <si>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</si>
  <si>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</si>
  <si>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</si>
  <si>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</si>
  <si>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</si>
  <si>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</si>
  <si>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</si>
  <si>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</si>
  <si>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</si>
  <si>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</si>
  <si>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</si>
  <si>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</si>
  <si>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</si>
  <si>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</si>
  <si>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</si>
  <si>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</si>
  <si>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</si>
  <si>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</si>
  <si>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</si>
  <si>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</si>
  <si>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</si>
  <si>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</si>
  <si>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</si>
  <si>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</si>
  <si>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</si>
  <si>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</si>
  <si>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</si>
  <si>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</si>
  <si>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</si>
  <si>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</si>
  <si>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</si>
  <si>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</si>
  <si>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</si>
  <si>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</si>
  <si>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</si>
  <si>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</si>
  <si>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</si>
  <si>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</si>
  <si>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</si>
  <si>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</si>
  <si>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</si>
  <si>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</si>
  <si>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</si>
  <si>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</si>
  <si>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</si>
  <si>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</si>
  <si>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</si>
  <si>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</si>
  <si>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</si>
  <si>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</si>
  <si>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</si>
  <si>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</si>
  <si>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</si>
  <si>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</si>
  <si>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</si>
  <si>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</si>
  <si>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</si>
  <si>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</si>
  <si>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</si>
  <si>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</si>
  <si>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</si>
  <si>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</si>
  <si>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</si>
  <si>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</si>
  <si>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</si>
  <si>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</si>
  <si>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</si>
  <si>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</si>
  <si>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</si>
  <si>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</si>
  <si>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</si>
  <si>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</si>
  <si>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</si>
  <si>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</si>
  <si>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</si>
  <si>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</si>
  <si>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</si>
  <si>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</si>
  <si>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</si>
  <si>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</si>
  <si>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</si>
  <si>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</si>
  <si>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</si>
  <si>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</si>
  <si>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</si>
  <si>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</si>
  <si>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</si>
  <si>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</si>
  <si>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</si>
  <si>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</si>
  <si>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</si>
  <si>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</si>
  <si>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</si>
  <si>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</si>
  <si>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</si>
  <si>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</si>
  <si>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</si>
  <si>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</si>
  <si>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</si>
  <si>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</si>
  <si>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</si>
  <si>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</si>
  <si>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</si>
  <si>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</si>
  <si>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</si>
  <si>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</si>
  <si>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</si>
  <si>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</si>
  <si>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</si>
  <si>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</si>
  <si>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</si>
  <si>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</si>
  <si>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</si>
  <si>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</si>
  <si>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</si>
  <si>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</si>
  <si>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</si>
  <si>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</si>
  <si>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</si>
  <si>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</si>
  <si>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</si>
  <si>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</si>
  <si>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</si>
  <si>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</si>
  <si>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</si>
  <si>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</si>
  <si>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</si>
  <si>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</si>
  <si>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</si>
  <si>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</si>
  <si>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</si>
  <si>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</si>
  <si>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</si>
  <si>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</si>
  <si>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</si>
  <si>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</si>
  <si>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</si>
  <si>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</si>
  <si>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</si>
  <si>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</si>
  <si>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</si>
  <si>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</si>
  <si>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</si>
  <si>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</si>
  <si>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</si>
  <si>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</si>
  <si>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</si>
  <si>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</si>
  <si>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</si>
  <si>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</si>
  <si>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</si>
  <si>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</si>
  <si>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</si>
  <si>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</si>
  <si>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</si>
  <si>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</si>
  <si>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</si>
  <si>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</si>
  <si>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</si>
  <si>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</si>
  <si>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</si>
  <si>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</si>
  <si>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</si>
  <si>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</si>
  <si>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</si>
  <si>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</si>
  <si>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</si>
  <si>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</si>
  <si>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</si>
  <si>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</si>
  <si>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</si>
  <si>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</si>
  <si>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</si>
  <si>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</si>
  <si>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</si>
  <si>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</si>
  <si>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</si>
  <si>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</si>
  <si>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</si>
  <si>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</si>
  <si>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</si>
  <si>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</si>
  <si>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</si>
  <si>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</si>
  <si>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</si>
  <si>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</si>
  <si>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</si>
  <si>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</si>
  <si>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</si>
  <si>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</si>
  <si>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</si>
  <si>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</si>
  <si>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</si>
  <si>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</si>
  <si>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</si>
  <si>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</si>
  <si>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</si>
  <si>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</si>
  <si>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</si>
  <si>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</si>
  <si>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</si>
  <si>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</si>
  <si>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</si>
  <si>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</si>
  <si>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</si>
  <si>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</si>
  <si>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</si>
  <si>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</si>
  <si>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</si>
  <si>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</si>
  <si>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</si>
  <si>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</si>
  <si>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</si>
  <si>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</si>
  <si>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</si>
  <si>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</si>
  <si>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</si>
  <si>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</si>
  <si>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</si>
  <si>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</si>
  <si>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</si>
  <si>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</si>
  <si>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</si>
  <si>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</si>
  <si>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</si>
  <si>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</si>
  <si>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</si>
  <si>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</si>
  <si>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</si>
  <si>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</si>
  <si>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</si>
  <si>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</si>
  <si>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</si>
  <si>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</si>
  <si>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</si>
  <si>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</si>
  <si>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</si>
  <si>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</si>
  <si>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</si>
  <si>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</si>
  <si>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</si>
  <si>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</si>
  <si>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</si>
  <si>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</si>
  <si>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</si>
  <si>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</si>
  <si>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</si>
  <si>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</si>
  <si>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</si>
  <si>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</si>
  <si>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</si>
  <si>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</si>
  <si>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</si>
  <si>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</si>
  <si>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</si>
  <si>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</si>
  <si>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</si>
  <si>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</si>
  <si>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</si>
  <si>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</si>
  <si>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</si>
  <si>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</si>
  <si>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</si>
  <si>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</si>
  <si>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</si>
  <si>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</si>
  <si>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</si>
  <si>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</si>
  <si>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</si>
  <si>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</si>
  <si>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</si>
  <si>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</si>
  <si>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</si>
  <si>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</si>
  <si>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</si>
  <si>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</si>
  <si>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</si>
  <si>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</si>
  <si>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</si>
  <si>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</si>
  <si>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</si>
  <si>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</si>
  <si>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</si>
  <si>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</si>
  <si>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</si>
  <si>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</si>
  <si>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</si>
  <si>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</si>
  <si>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</si>
  <si>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</si>
  <si>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</si>
  <si>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</si>
  <si>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</si>
  <si>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</si>
  <si>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</si>
  <si>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</si>
  <si>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</si>
  <si>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</si>
  <si>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</si>
  <si>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</si>
  <si>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</si>
  <si>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</si>
  <si>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</si>
  <si>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</si>
  <si>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</si>
  <si>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</si>
  <si>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</si>
  <si>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</si>
  <si>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</si>
  <si>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</si>
  <si>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</si>
  <si>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</si>
  <si>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</si>
  <si>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</si>
  <si>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</si>
  <si>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</si>
  <si>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</si>
  <si>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</si>
  <si>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</si>
  <si>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</si>
  <si>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</si>
  <si>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</si>
  <si>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</si>
  <si>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</si>
  <si>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</si>
  <si>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</si>
  <si>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</si>
  <si>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</si>
  <si>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</si>
  <si>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</si>
  <si>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</si>
  <si>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</si>
  <si>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</si>
  <si>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</si>
  <si>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</si>
  <si>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</si>
  <si>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</si>
  <si>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</si>
  <si>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</si>
  <si>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</si>
  <si>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</si>
  <si>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</si>
  <si>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</si>
  <si>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</si>
  <si>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</si>
  <si>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</si>
  <si>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</si>
  <si>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</si>
  <si>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</si>
  <si>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</si>
  <si>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</si>
  <si>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</si>
  <si>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</si>
  <si>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</si>
  <si>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</si>
  <si>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</si>
  <si>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</si>
  <si>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</si>
  <si>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</si>
  <si>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</si>
  <si>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</si>
  <si>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</si>
  <si>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</si>
  <si>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</si>
  <si>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</si>
  <si>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</si>
  <si>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</si>
  <si>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</si>
  <si>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</si>
  <si>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</si>
  <si>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</si>
  <si>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</si>
  <si>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</si>
  <si>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</si>
  <si>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</si>
  <si>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</si>
  <si>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</si>
  <si>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</si>
  <si>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</si>
  <si>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</si>
  <si>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</si>
  <si>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</si>
  <si>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</si>
  <si>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</si>
  <si>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</si>
  <si>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</si>
  <si>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</si>
  <si>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</si>
  <si>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</si>
  <si>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</si>
  <si>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</si>
  <si>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</si>
  <si>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</si>
  <si>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</si>
  <si>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</si>
  <si>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</si>
  <si>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</si>
  <si>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</si>
  <si>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</si>
  <si>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</si>
  <si>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</si>
  <si>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</si>
  <si>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</si>
  <si>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</si>
  <si>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</si>
  <si>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</si>
  <si>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</si>
  <si>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</si>
  <si>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</si>
  <si>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</si>
  <si>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</si>
  <si>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</si>
  <si>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</si>
  <si>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</si>
  <si>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</si>
  <si>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</si>
  <si>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</si>
  <si>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</si>
  <si>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</si>
  <si>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</si>
  <si>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</si>
  <si>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</si>
  <si>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</si>
  <si>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</si>
  <si>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</si>
  <si>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</si>
  <si>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</si>
  <si>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</si>
  <si>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</si>
  <si>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</si>
  <si>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</si>
  <si>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</si>
  <si>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</si>
  <si>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</si>
  <si>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</si>
  <si>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</si>
  <si>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</si>
  <si>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</si>
  <si>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</si>
  <si>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</si>
  <si>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</si>
  <si>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</si>
  <si>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</si>
  <si>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</si>
  <si>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</si>
  <si>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</si>
  <si>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</si>
  <si>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</si>
  <si>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</si>
  <si>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</si>
  <si>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</si>
  <si>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</si>
  <si>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</si>
  <si>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</si>
  <si>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</si>
  <si>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</si>
  <si>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</si>
  <si>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</si>
  <si>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</si>
  <si>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</si>
  <si>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</si>
  <si>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</si>
  <si>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</si>
  <si>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</si>
  <si>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</si>
  <si>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</si>
  <si>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</si>
  <si>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</si>
  <si>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</si>
  <si>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</si>
  <si>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</si>
  <si>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</si>
  <si>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</si>
  <si>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</si>
  <si>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</si>
  <si>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</si>
  <si>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</si>
  <si>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</si>
  <si>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</si>
  <si>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</si>
  <si>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</si>
  <si>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</si>
  <si>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</si>
  <si>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</si>
  <si>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</si>
  <si>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</si>
  <si>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</si>
  <si>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</si>
  <si>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</si>
  <si>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</si>
  <si>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</si>
  <si>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</si>
  <si>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</si>
  <si>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</si>
  <si>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</si>
  <si>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</si>
  <si>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</si>
  <si>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</si>
  <si>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</si>
  <si>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</si>
  <si>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</si>
  <si>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</si>
  <si>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</si>
  <si>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</si>
  <si>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</si>
  <si>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</si>
  <si>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</si>
  <si>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</si>
  <si>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</si>
  <si>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</si>
  <si>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</si>
  <si>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</si>
  <si>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</si>
  <si>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</si>
  <si>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</si>
  <si>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</si>
  <si>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</si>
  <si>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</si>
  <si>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</si>
  <si>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</si>
  <si>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</si>
  <si>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</si>
  <si>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</si>
  <si>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</si>
  <si>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</si>
  <si>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</si>
  <si>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</si>
  <si>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</si>
  <si>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</si>
  <si>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</si>
  <si>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</si>
  <si>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</si>
  <si>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</si>
  <si>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</si>
  <si>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</si>
  <si>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</si>
  <si>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</si>
  <si>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</si>
  <si>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</si>
  <si>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</si>
  <si>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</si>
  <si>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</si>
  <si>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</si>
  <si>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</si>
  <si>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</si>
  <si>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</si>
  <si>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</si>
  <si>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</si>
  <si>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</si>
  <si>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</si>
  <si>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</si>
  <si>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</si>
  <si>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</si>
  <si>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</si>
  <si>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</si>
  <si>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</si>
  <si>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</si>
  <si>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</si>
  <si>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</si>
  <si>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</si>
  <si>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</si>
  <si>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</si>
  <si>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</si>
  <si>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</si>
  <si>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</si>
  <si>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</si>
  <si>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</si>
  <si>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</si>
  <si>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</si>
  <si>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</si>
  <si>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</si>
  <si>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</si>
  <si>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</si>
  <si>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</si>
  <si>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</si>
  <si>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</si>
  <si>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</si>
  <si>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</si>
  <si>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</si>
  <si>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</si>
  <si>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</si>
  <si>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</si>
  <si>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</si>
  <si>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</si>
  <si>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</si>
  <si>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</si>
  <si>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</si>
  <si>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</si>
  <si>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</si>
  <si>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</si>
  <si>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</si>
  <si>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</si>
  <si>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</si>
  <si>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</si>
  <si>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</si>
  <si>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</si>
  <si>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</si>
  <si>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</si>
  <si>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</si>
  <si>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</si>
  <si>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</si>
  <si>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</si>
  <si>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</si>
  <si>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</si>
  <si>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</si>
  <si>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</si>
  <si>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</si>
  <si>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</si>
  <si>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</si>
  <si>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</si>
  <si>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</si>
  <si>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</si>
  <si>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</si>
  <si>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</si>
  <si>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</si>
  <si>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</si>
  <si>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</si>
  <si>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</si>
  <si>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</si>
  <si>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</si>
  <si>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</si>
  <si>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</si>
  <si>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</si>
  <si>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</si>
  <si>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</si>
  <si>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</si>
  <si>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</si>
  <si>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</si>
  <si>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</si>
  <si>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</si>
  <si>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</si>
  <si>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</si>
  <si>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</si>
  <si>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</si>
  <si>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</si>
  <si>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</si>
  <si>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</si>
  <si>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</si>
  <si>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</si>
  <si>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</si>
  <si>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</si>
  <si>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</si>
  <si>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</si>
  <si>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</si>
  <si>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</si>
  <si>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</si>
  <si>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</si>
  <si>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</si>
  <si>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</si>
  <si>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</si>
  <si>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</si>
  <si>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</si>
  <si>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</si>
  <si>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</si>
  <si>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</si>
  <si>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</si>
  <si>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</si>
  <si>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</si>
  <si>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</si>
  <si>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</si>
  <si>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</si>
  <si>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</si>
  <si>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</si>
  <si>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</si>
  <si>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</si>
  <si>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</si>
  <si>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</si>
  <si>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</si>
  <si>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</si>
  <si>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</si>
  <si>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</si>
  <si>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</si>
  <si>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</si>
  <si>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</si>
  <si>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</si>
  <si>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</si>
  <si>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</si>
  <si>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</si>
  <si>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</si>
  <si>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</si>
  <si>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</si>
  <si>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</si>
  <si>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</si>
  <si>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</si>
  <si>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</si>
  <si>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</si>
  <si>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</si>
  <si>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</si>
  <si>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</si>
  <si>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</si>
  <si>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</si>
  <si>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</si>
  <si>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</si>
  <si>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</si>
  <si>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</si>
  <si>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</si>
  <si>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</si>
  <si>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</si>
  <si>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</si>
  <si>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</si>
  <si>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</si>
  <si>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</si>
  <si>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</si>
  <si>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</si>
  <si>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</si>
  <si>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</si>
  <si>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</si>
  <si>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</si>
  <si>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</si>
  <si>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</si>
  <si>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</si>
  <si>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</si>
  <si>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</si>
  <si>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</si>
  <si>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</si>
  <si>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</si>
  <si>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</si>
  <si>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</si>
  <si>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</si>
  <si>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</si>
  <si>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</si>
  <si>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</si>
  <si>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</si>
  <si>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</si>
  <si>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</si>
  <si>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</si>
  <si>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</si>
  <si>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</si>
  <si>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</si>
  <si>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</si>
  <si>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</si>
  <si>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</si>
  <si>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</si>
  <si>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</si>
  <si>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</si>
  <si>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</si>
  <si>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</si>
  <si>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</si>
  <si>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</si>
  <si>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</si>
  <si>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</si>
  <si>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</si>
  <si>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</si>
  <si>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</si>
  <si>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</si>
  <si>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</si>
  <si>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</si>
  <si>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</si>
  <si>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</si>
  <si>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</si>
  <si>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</si>
  <si>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</si>
  <si>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</si>
  <si>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</si>
  <si>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</si>
  <si>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</si>
  <si>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</si>
  <si>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</si>
  <si>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</si>
  <si>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</si>
  <si>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</si>
  <si>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</si>
  <si>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</si>
  <si>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</si>
  <si>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</si>
  <si>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</si>
  <si>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</si>
  <si>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</si>
  <si>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</si>
  <si>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</si>
  <si>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</si>
  <si>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</si>
  <si>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</si>
  <si>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</si>
  <si>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</si>
  <si>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</si>
  <si>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</si>
  <si>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</si>
  <si>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</si>
  <si>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</si>
  <si>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</si>
  <si>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</si>
  <si>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</si>
  <si>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</si>
  <si>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</si>
  <si>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</si>
  <si>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</si>
  <si>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</si>
  <si>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</si>
  <si>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</si>
  <si>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</si>
  <si>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</si>
  <si>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</si>
  <si>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</si>
  <si>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</si>
  <si>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</si>
  <si>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</si>
  <si>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</si>
  <si>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</si>
  <si>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</si>
  <si>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</si>
  <si>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</si>
  <si>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</si>
  <si>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</si>
  <si>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</si>
  <si>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</si>
  <si>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</si>
  <si>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</si>
  <si>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</si>
  <si>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</si>
  <si>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</si>
  <si>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</si>
  <si>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</si>
  <si>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</si>
  <si>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</si>
  <si>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</si>
  <si>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</si>
  <si>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</si>
  <si>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</si>
  <si>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</si>
  <si>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</si>
  <si>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</si>
  <si>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</si>
  <si>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</si>
  <si>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</si>
  <si>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</si>
  <si>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</si>
  <si>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</si>
  <si>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</si>
  <si>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</si>
  <si>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</si>
  <si>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</si>
  <si>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</si>
  <si>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</si>
  <si>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</si>
  <si>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</si>
  <si>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</si>
  <si>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</si>
  <si>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</si>
  <si>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</si>
  <si>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</si>
  <si>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</si>
  <si>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</si>
  <si>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</si>
  <si>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</si>
  <si>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</si>
  <si>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</si>
  <si>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</si>
  <si>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</si>
  <si>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</si>
  <si>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</si>
  <si>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</si>
  <si>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</si>
  <si>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</si>
  <si>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</si>
  <si>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</si>
  <si>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</si>
  <si>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</si>
  <si>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</si>
  <si>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</si>
  <si>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</si>
  <si>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</si>
  <si>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</si>
  <si>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</si>
  <si>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</si>
  <si>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</si>
  <si>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</si>
  <si>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</si>
  <si>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</si>
  <si>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</si>
  <si>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</si>
  <si>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</si>
  <si>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</si>
  <si>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</si>
  <si>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</si>
  <si>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</si>
  <si>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</si>
  <si>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</si>
  <si>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</si>
  <si>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</si>
  <si>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</si>
  <si>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</si>
  <si>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</si>
  <si>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</si>
  <si>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</si>
  <si>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</si>
  <si>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</si>
  <si>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</si>
  <si>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</si>
  <si>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</si>
  <si>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</si>
  <si>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</si>
  <si>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</si>
  <si>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</si>
  <si>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</si>
  <si>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</si>
  <si>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</si>
  <si>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</si>
  <si>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</si>
  <si>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</si>
  <si>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</si>
  <si>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</si>
  <si>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</si>
  <si>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</si>
  <si>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</si>
  <si>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</si>
  <si>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</si>
  <si>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</si>
  <si>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</si>
  <si>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</si>
  <si>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</si>
  <si>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</si>
  <si>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</si>
  <si>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</si>
  <si>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</si>
  <si>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</si>
  <si>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</si>
  <si>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</si>
  <si>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</si>
  <si>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</si>
  <si>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</si>
  <si>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</si>
  <si>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</si>
  <si>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</si>
  <si>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</si>
  <si>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</si>
  <si>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</si>
  <si>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</si>
  <si>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</si>
  <si>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</si>
  <si>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</si>
  <si>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</si>
  <si>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</si>
  <si>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</si>
  <si>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</si>
  <si>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</si>
  <si>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</si>
  <si>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</si>
  <si>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</si>
  <si>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</si>
  <si>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</si>
  <si>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</si>
  <si>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</si>
  <si>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</si>
  <si>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</si>
  <si>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</si>
  <si>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</si>
  <si>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</si>
  <si>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</si>
  <si>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</si>
  <si>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</si>
  <si>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</si>
  <si>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</si>
  <si>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</si>
  <si>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</si>
  <si>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</si>
  <si>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</si>
  <si>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</si>
  <si>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</si>
  <si>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</si>
  <si>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</si>
  <si>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</si>
  <si>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</si>
  <si>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</si>
  <si>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</si>
  <si>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</si>
  <si>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</si>
  <si>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</si>
  <si>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</si>
  <si>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</si>
  <si>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</si>
  <si>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</si>
  <si>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</si>
  <si>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</si>
  <si>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</si>
  <si>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</si>
  <si>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</si>
  <si>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</si>
  <si>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</si>
  <si>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</si>
  <si>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</si>
  <si>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</si>
  <si>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</si>
  <si>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</si>
  <si>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</si>
  <si>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</si>
  <si>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</si>
  <si>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</si>
  <si>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</si>
  <si>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</si>
  <si>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</si>
  <si>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</si>
  <si>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</si>
  <si>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</si>
  <si>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</si>
  <si>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</si>
  <si>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</si>
  <si>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</si>
  <si>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</si>
  <si>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</si>
  <si>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</si>
  <si>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</si>
  <si>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</si>
  <si>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</si>
  <si>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</si>
  <si>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</si>
  <si>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</si>
  <si>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</si>
  <si>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</si>
  <si>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</si>
  <si>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</si>
  <si>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</si>
  <si>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</si>
  <si>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</si>
  <si>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</si>
  <si>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</si>
  <si>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</si>
  <si>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</si>
  <si>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</si>
  <si>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</si>
  <si>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</si>
  <si>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</si>
  <si>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</si>
  <si>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</si>
  <si>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</si>
  <si>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</si>
  <si>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</si>
  <si>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</si>
  <si>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</si>
  <si>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</si>
  <si>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</si>
  <si>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</si>
  <si>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</si>
  <si>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</si>
  <si>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</si>
  <si>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</si>
  <si>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</si>
  <si>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</si>
  <si>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</si>
  <si>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</si>
  <si>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</si>
  <si>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</si>
  <si>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</si>
  <si>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</si>
  <si>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</si>
  <si>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</si>
  <si>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</si>
  <si>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</si>
  <si>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</si>
  <si>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</si>
  <si>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</si>
  <si>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</si>
  <si>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</si>
  <si>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</si>
  <si>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</si>
  <si>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</si>
  <si>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</si>
  <si>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</si>
  <si>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</si>
  <si>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</si>
  <si>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</si>
  <si>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</si>
  <si>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</si>
  <si>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</si>
  <si>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</si>
  <si>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</si>
  <si>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</si>
  <si>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</si>
  <si>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</si>
  <si>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</si>
  <si>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</si>
  <si>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</si>
  <si>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</si>
  <si>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</si>
  <si>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</si>
  <si>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</si>
  <si>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</si>
  <si>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</si>
  <si>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</si>
  <si>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</si>
  <si>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</si>
  <si>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</si>
  <si>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</si>
  <si>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</si>
  <si>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</si>
  <si>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</si>
  <si>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</si>
  <si>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</si>
  <si>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</si>
  <si>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</si>
  <si>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</si>
  <si>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</si>
  <si>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</si>
  <si>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</si>
  <si>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</si>
  <si>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</si>
  <si>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</si>
  <si>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</si>
  <si>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</si>
  <si>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</si>
  <si>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</si>
  <si>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</si>
  <si>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</si>
  <si>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</si>
  <si>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</si>
  <si>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</si>
  <si>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</si>
  <si>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</si>
  <si>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</si>
  <si>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</si>
  <si>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</si>
  <si>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</si>
  <si>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</si>
  <si>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</si>
  <si>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</si>
  <si>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</si>
  <si>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</si>
  <si>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</si>
  <si>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</si>
  <si>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</si>
  <si>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</si>
  <si>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</si>
  <si>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</si>
  <si>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</si>
  <si>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</si>
  <si>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</si>
  <si>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</si>
  <si>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</si>
  <si>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</si>
  <si>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</si>
  <si>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</si>
  <si>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</si>
  <si>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</si>
  <si>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</si>
  <si>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</si>
  <si>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</si>
  <si>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</si>
  <si>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</si>
  <si>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</si>
  <si>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</si>
  <si>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</si>
  <si>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</si>
  <si>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</si>
  <si>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</si>
  <si>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</si>
  <si>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</si>
  <si>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</si>
  <si>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</si>
  <si>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</si>
  <si>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</si>
  <si>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</si>
  <si>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</si>
  <si>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</si>
  <si>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</si>
  <si>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</si>
  <si>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</si>
  <si>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</si>
  <si>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</si>
  <si>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</si>
  <si>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</si>
  <si>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</si>
  <si>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</si>
  <si>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</si>
  <si>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</si>
  <si>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</si>
  <si>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</si>
  <si>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</si>
  <si>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</si>
  <si>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</si>
  <si>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</si>
  <si>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</si>
  <si>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</si>
  <si>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</si>
  <si>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</si>
  <si>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</si>
  <si>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</si>
  <si>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</si>
  <si>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</si>
  <si>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</si>
  <si>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</si>
  <si>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</si>
  <si>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</si>
  <si>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</si>
  <si>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</si>
  <si>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</si>
  <si>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</si>
  <si>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</si>
  <si>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</si>
  <si>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</si>
  <si>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</si>
  <si>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</si>
  <si>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</si>
  <si>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</si>
  <si>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</si>
  <si>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</si>
  <si>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</si>
  <si>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</si>
  <si>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</si>
  <si>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</si>
  <si>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</si>
  <si>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</si>
  <si>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</si>
  <si>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</si>
  <si>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</si>
  <si>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</si>
  <si>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</si>
  <si>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</si>
  <si>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</si>
  <si>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</si>
  <si>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</si>
  <si>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</si>
  <si>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</si>
  <si>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</si>
  <si>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</si>
  <si>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</si>
  <si>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</si>
  <si>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</si>
  <si>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</si>
  <si>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</si>
  <si>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</si>
  <si>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</si>
  <si>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</si>
  <si>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</si>
  <si>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</si>
  <si>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</si>
  <si>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</si>
  <si>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</si>
  <si>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</si>
  <si>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</si>
  <si>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</si>
  <si>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</si>
  <si>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</si>
  <si>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</si>
  <si>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</si>
  <si>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</si>
  <si>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</si>
  <si>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</si>
  <si>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</si>
  <si>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</si>
  <si>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</si>
  <si>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</si>
  <si>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</si>
  <si>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</si>
  <si>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</si>
  <si>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</si>
  <si>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</si>
  <si>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</si>
  <si>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</si>
  <si>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</si>
  <si>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</si>
  <si>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</si>
  <si>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</si>
  <si>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</si>
  <si>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</si>
  <si>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</si>
  <si>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</si>
  <si>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</si>
  <si>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</si>
  <si>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</si>
  <si>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</si>
  <si>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</si>
  <si>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</si>
  <si>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</si>
  <si>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</si>
  <si>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</si>
  <si>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</si>
  <si>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</si>
  <si>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</si>
  <si>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</si>
  <si>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</si>
  <si>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</si>
  <si>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</si>
  <si>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</si>
  <si>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</si>
  <si>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</si>
  <si>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</si>
  <si>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</si>
  <si>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</si>
  <si>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</si>
  <si>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</si>
  <si>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</si>
  <si>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</si>
  <si>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</si>
  <si>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</si>
  <si>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</si>
  <si>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</si>
  <si>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</si>
  <si>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</si>
  <si>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</si>
  <si>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</si>
  <si>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</si>
  <si>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</si>
  <si>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</si>
  <si>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</si>
  <si>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</si>
  <si>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</si>
  <si>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</si>
  <si>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</si>
  <si>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</si>
  <si>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</si>
  <si>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</si>
  <si>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</si>
  <si>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</si>
  <si>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</si>
  <si>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</si>
  <si>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</si>
  <si>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</si>
  <si>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</si>
  <si>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</si>
  <si>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</si>
  <si>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</si>
  <si>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</si>
  <si>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</si>
  <si>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</si>
  <si>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</si>
  <si>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</si>
  <si>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</si>
  <si>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</si>
  <si>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</si>
  <si>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</si>
  <si>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</si>
  <si>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</si>
  <si>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</si>
  <si>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</si>
  <si>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</si>
  <si>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</si>
  <si>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</si>
  <si>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</si>
  <si>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</si>
  <si>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</si>
  <si>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</si>
  <si>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</si>
  <si>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</si>
  <si>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</si>
  <si>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</si>
  <si>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</si>
  <si>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</si>
  <si>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</si>
  <si>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</si>
  <si>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</si>
  <si>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</si>
  <si>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</si>
  <si>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</si>
  <si>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</si>
  <si>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</si>
  <si>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</si>
  <si>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</si>
  <si>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</si>
  <si>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</si>
  <si>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</si>
  <si>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</si>
  <si>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</si>
  <si>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</si>
  <si>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</si>
  <si>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</si>
  <si>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</si>
  <si>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</si>
  <si>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</si>
  <si>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</si>
  <si>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</si>
  <si>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</si>
  <si>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</si>
  <si>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</si>
  <si>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</si>
  <si>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</si>
  <si>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</si>
  <si>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</si>
  <si>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</si>
  <si>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</si>
  <si>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</si>
  <si>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</si>
  <si>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</si>
  <si>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</si>
  <si>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</si>
  <si>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</si>
  <si>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</si>
  <si>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</si>
  <si>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</si>
  <si>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</si>
  <si>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</si>
  <si>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</si>
  <si>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</si>
  <si>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</si>
  <si>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</si>
  <si>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</si>
  <si>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</si>
  <si>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</si>
  <si>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</si>
  <si>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</si>
  <si>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</si>
  <si>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</si>
  <si>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</si>
  <si>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</si>
  <si>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</si>
  <si>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</si>
  <si>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</si>
  <si>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</si>
  <si>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</si>
  <si>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</si>
  <si>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</si>
  <si>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</si>
  <si>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</si>
  <si>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</si>
  <si>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</si>
  <si>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</si>
  <si>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</si>
  <si>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</si>
  <si>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</si>
  <si>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</si>
  <si>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</si>
  <si>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</si>
  <si>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</si>
  <si>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</si>
  <si>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</si>
  <si>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</si>
  <si>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</si>
  <si>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</si>
  <si>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</si>
  <si>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</si>
  <si>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</si>
  <si>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</si>
  <si>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</si>
  <si>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</si>
  <si>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</si>
  <si>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</si>
  <si>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</si>
  <si>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</si>
  <si>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</si>
  <si>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</si>
  <si>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</si>
  <si>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</si>
  <si>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</si>
  <si>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</si>
  <si>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</si>
  <si>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</si>
  <si>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</si>
  <si>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</si>
  <si>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</si>
  <si>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</si>
  <si>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</si>
  <si>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</si>
  <si>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</si>
  <si>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</si>
  <si>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</si>
  <si>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</si>
  <si>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</si>
  <si>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</si>
  <si>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</si>
  <si>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</si>
  <si>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</si>
  <si>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</si>
  <si>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</si>
  <si>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</si>
  <si>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</si>
  <si>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</si>
  <si>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</si>
  <si>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</si>
  <si>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</si>
  <si>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</si>
  <si>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</si>
  <si>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</si>
  <si>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</si>
  <si>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</si>
  <si>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</si>
  <si>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</si>
  <si>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</si>
  <si>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</si>
  <si>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</si>
  <si>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</si>
  <si>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</si>
  <si>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</si>
  <si>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</si>
  <si>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</si>
  <si>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</si>
  <si>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</si>
  <si>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</si>
  <si>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</si>
  <si>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</si>
  <si>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</si>
  <si>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</si>
  <si>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</si>
  <si>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</si>
  <si>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</si>
  <si>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</si>
  <si>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</si>
  <si>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</si>
  <si>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</si>
  <si>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</si>
  <si>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</si>
  <si>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</si>
  <si>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</si>
  <si>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</si>
  <si>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</si>
  <si>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</si>
  <si>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</si>
  <si>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</si>
  <si>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</si>
  <si>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</si>
  <si>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</si>
  <si>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</si>
  <si>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</si>
  <si>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</si>
  <si>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</si>
  <si>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</si>
  <si>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</si>
  <si>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</si>
  <si>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</si>
  <si>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</si>
  <si>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</si>
  <si>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</si>
  <si>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</si>
  <si>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</si>
  <si>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</si>
  <si>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</si>
  <si>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</si>
  <si>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</si>
  <si>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</si>
  <si>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</si>
  <si>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</si>
  <si>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</si>
  <si>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</si>
  <si>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</si>
  <si>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</si>
  <si>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</si>
  <si>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</si>
  <si>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</si>
  <si>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</si>
  <si>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</si>
  <si>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</si>
  <si>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</si>
  <si>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</si>
  <si>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</si>
  <si>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</si>
  <si>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</si>
  <si>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</si>
  <si>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</si>
  <si>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</si>
  <si>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</si>
  <si>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</si>
  <si>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</si>
  <si>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</si>
  <si>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</si>
  <si>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</si>
  <si>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</si>
  <si>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</si>
  <si>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</si>
  <si>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</si>
  <si>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</si>
  <si>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</si>
  <si>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</si>
  <si>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</si>
  <si>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</si>
  <si>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</si>
  <si>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</si>
  <si>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</si>
  <si>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</si>
  <si>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</si>
  <si>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</si>
  <si>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</si>
  <si>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</si>
  <si>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</si>
  <si>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</si>
  <si>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</si>
  <si>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</si>
  <si>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</si>
  <si>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</si>
  <si>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</si>
  <si>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</si>
  <si>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</si>
  <si>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</si>
  <si>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</si>
  <si>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</si>
  <si>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</si>
  <si>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</si>
  <si>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</si>
  <si>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</si>
  <si>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</si>
  <si>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</si>
  <si>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</si>
  <si>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</si>
  <si>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</si>
  <si>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</si>
  <si>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</si>
  <si>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</si>
  <si>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</si>
  <si>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</si>
  <si>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</si>
  <si>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</si>
  <si>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</si>
  <si>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</si>
  <si>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</si>
  <si>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</si>
  <si>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</si>
  <si>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</si>
  <si>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</si>
  <si>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</si>
  <si>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</si>
  <si>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</si>
  <si>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</si>
  <si>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</si>
  <si>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</si>
  <si>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</si>
  <si>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</si>
  <si>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</si>
  <si>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</si>
  <si>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</si>
  <si>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</si>
  <si>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</si>
  <si>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</si>
  <si>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</si>
  <si>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</si>
  <si>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</si>
  <si>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</si>
  <si>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</si>
  <si>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</si>
  <si>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</si>
  <si>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</si>
  <si>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</si>
  <si>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</si>
  <si>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</si>
  <si>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</si>
  <si>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</si>
  <si>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</si>
  <si>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</si>
  <si>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</si>
  <si>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</si>
  <si>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</si>
  <si>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</si>
  <si>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</si>
  <si>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</si>
  <si>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</si>
  <si>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</si>
  <si>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</si>
  <si>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</si>
  <si>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</si>
  <si>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</si>
  <si>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</si>
  <si>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</si>
  <si>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</si>
  <si>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</si>
  <si>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</si>
  <si>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</si>
  <si>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</si>
  <si>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</si>
  <si>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</si>
  <si>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</si>
  <si>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</si>
  <si>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</si>
  <si>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</si>
  <si>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</si>
  <si>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</si>
  <si>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</si>
  <si>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</si>
  <si>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</si>
  <si>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</si>
  <si>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</si>
  <si>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</si>
  <si>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</si>
  <si>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</si>
  <si>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</si>
  <si>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</si>
  <si>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</si>
  <si>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</si>
  <si>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</si>
  <si>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</si>
  <si>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</si>
  <si>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</si>
  <si>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</si>
  <si>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</si>
  <si>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</si>
  <si>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</si>
  <si>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</si>
  <si>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</si>
  <si>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</si>
  <si>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</si>
  <si>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</si>
  <si>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</si>
  <si>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</si>
  <si>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</si>
  <si>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</si>
  <si>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</si>
  <si>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</si>
  <si>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</si>
  <si>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</si>
  <si>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</si>
  <si>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</si>
  <si>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</si>
  <si>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</si>
  <si>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</si>
  <si>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</si>
  <si>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</si>
  <si>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</si>
  <si>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</si>
  <si>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</si>
  <si>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</si>
  <si>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</si>
  <si>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</si>
  <si>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</si>
  <si>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</si>
  <si>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</si>
  <si>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</si>
  <si>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</si>
  <si>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</si>
  <si>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</si>
  <si>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</si>
  <si>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</si>
  <si>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</si>
  <si>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</si>
  <si>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</si>
  <si>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</si>
  <si>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</si>
  <si>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</si>
  <si>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</si>
  <si>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</si>
  <si>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</si>
  <si>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</si>
  <si>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</si>
  <si>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</si>
  <si>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</si>
  <si>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</si>
  <si>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</si>
  <si>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</si>
  <si>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</si>
  <si>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</si>
  <si>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</si>
  <si>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</si>
  <si>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</si>
  <si>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</si>
  <si>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</si>
  <si>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</si>
  <si>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</si>
  <si>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</si>
  <si>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</si>
  <si>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</si>
  <si>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</si>
  <si>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</si>
  <si>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</si>
  <si>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</si>
  <si>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</si>
  <si>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</si>
  <si>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</si>
  <si>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</si>
  <si>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</si>
  <si>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</si>
  <si>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</si>
  <si>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</si>
  <si>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</si>
  <si>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</si>
  <si>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</si>
  <si>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</si>
  <si>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</si>
  <si>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</si>
  <si>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</si>
  <si>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</si>
  <si>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</si>
  <si>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</si>
  <si>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</si>
  <si>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</si>
  <si>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</si>
  <si>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</si>
  <si>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</si>
  <si>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</si>
  <si>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</si>
  <si>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</si>
  <si>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</si>
  <si>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</si>
  <si>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</si>
  <si>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</si>
  <si>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</si>
  <si>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</si>
  <si>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</si>
  <si>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</si>
  <si>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</si>
  <si>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</si>
  <si>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</si>
  <si>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</si>
  <si>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</si>
  <si>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</si>
  <si>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</si>
  <si>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</si>
  <si>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</si>
  <si>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</si>
  <si>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</si>
  <si>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</si>
  <si>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</si>
  <si>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</si>
  <si>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</si>
  <si>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</si>
  <si>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</si>
  <si>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</si>
  <si>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</si>
  <si>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</si>
  <si>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</si>
  <si>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</si>
  <si>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</si>
  <si>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</si>
  <si>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</si>
  <si>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</si>
  <si>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</si>
  <si>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</si>
  <si>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</si>
  <si>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</si>
  <si>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</si>
  <si>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</si>
  <si>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</si>
  <si>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</si>
  <si>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</si>
  <si>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</si>
  <si>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</si>
  <si>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</si>
  <si>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</si>
  <si>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</si>
  <si>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</si>
  <si>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</si>
  <si>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</si>
  <si>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</si>
  <si>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</si>
  <si>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</si>
  <si>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</si>
  <si>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</si>
  <si>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</si>
  <si>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</si>
  <si>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</si>
  <si>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</si>
  <si>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</si>
  <si>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</si>
  <si>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</si>
  <si>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</si>
  <si>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</si>
  <si>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</si>
  <si>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</si>
  <si>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</si>
  <si>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</si>
  <si>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</si>
  <si>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</si>
  <si>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</si>
  <si>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</si>
  <si>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</si>
  <si>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</si>
  <si>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</si>
  <si>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</si>
  <si>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</si>
  <si>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</si>
  <si>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</si>
  <si>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</si>
  <si>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</si>
  <si>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</si>
  <si>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</si>
  <si>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</si>
  <si>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</si>
  <si>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</si>
  <si>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</si>
  <si>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</si>
  <si>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</si>
  <si>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</si>
  <si>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</si>
  <si>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</si>
  <si>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</si>
  <si>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</si>
  <si>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</si>
  <si>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</si>
  <si>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</si>
  <si>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</si>
  <si>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</si>
  <si>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</si>
  <si>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</si>
  <si>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</si>
  <si>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</si>
  <si>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</si>
  <si>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</si>
  <si>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</si>
  <si>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</si>
  <si>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</si>
  <si>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</si>
  <si>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</si>
  <si>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</si>
  <si>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</si>
  <si>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</si>
  <si>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</si>
  <si>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</si>
  <si>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</si>
  <si>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</si>
  <si>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</si>
  <si>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</si>
  <si>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</si>
  <si>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</si>
  <si>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</si>
  <si>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</si>
  <si>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</si>
  <si>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</si>
  <si>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</si>
  <si>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</si>
  <si>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</si>
  <si>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</si>
  <si>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</si>
  <si>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</si>
  <si>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</si>
  <si>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</si>
  <si>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</si>
  <si>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</si>
  <si>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</si>
  <si>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</si>
  <si>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</si>
  <si>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</si>
  <si>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</si>
  <si>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</si>
  <si>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</si>
  <si>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</si>
  <si>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</si>
  <si>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</si>
  <si>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</si>
  <si>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</si>
  <si>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</si>
  <si>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</si>
  <si>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</si>
  <si>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</si>
  <si>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</si>
  <si>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</si>
  <si>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</si>
  <si>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</si>
  <si>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</si>
  <si>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</si>
  <si>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</si>
  <si>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</si>
  <si>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</si>
  <si>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</si>
  <si>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</si>
  <si>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</si>
  <si>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</si>
  <si>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</si>
  <si>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</si>
  <si>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</si>
  <si>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</si>
  <si>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</si>
  <si>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</si>
  <si>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</si>
  <si>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</si>
  <si>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</si>
  <si>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</si>
  <si>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</si>
  <si>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</si>
  <si>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</si>
  <si>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</si>
  <si>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</si>
  <si>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</si>
  <si>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</si>
  <si>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</si>
  <si>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</si>
  <si>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</si>
  <si>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</si>
  <si>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</si>
  <si>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</si>
  <si>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</si>
  <si>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</si>
  <si>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</si>
  <si>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</si>
  <si>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</si>
  <si>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</si>
  <si>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</si>
  <si>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</si>
  <si>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</si>
  <si>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</si>
  <si>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</si>
  <si>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</si>
  <si>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</si>
  <si>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</si>
  <si>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</si>
  <si>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</si>
  <si>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</si>
  <si>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</si>
  <si>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</si>
  <si>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</si>
  <si>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</si>
  <si>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</si>
  <si>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</si>
  <si>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</si>
  <si>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</si>
  <si>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</si>
  <si>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</si>
  <si>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</si>
  <si>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</si>
  <si>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</si>
  <si>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</si>
  <si>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</si>
  <si>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</si>
  <si>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</si>
  <si>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</si>
  <si>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</si>
  <si>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</si>
  <si>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</si>
  <si>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</si>
  <si>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</si>
  <si>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</si>
  <si>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</si>
  <si>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</si>
  <si>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</si>
  <si>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</si>
  <si>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</si>
  <si>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</si>
  <si>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</si>
  <si>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</si>
  <si>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</si>
  <si>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</si>
  <si>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</si>
  <si>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</si>
  <si>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</si>
  <si>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</si>
  <si>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</si>
  <si>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</si>
  <si>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</si>
  <si>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</si>
  <si>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</si>
  <si>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</si>
  <si>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</si>
  <si>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</si>
  <si>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</si>
  <si>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</si>
  <si>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</si>
  <si>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</si>
  <si>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</si>
  <si>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</si>
  <si>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</si>
  <si>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</si>
  <si>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</si>
  <si>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</si>
  <si>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</si>
  <si>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</si>
  <si>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</si>
  <si>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</si>
  <si>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</si>
  <si>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</si>
  <si>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</si>
  <si>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</si>
  <si>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</si>
  <si>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</si>
  <si>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</si>
  <si>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</si>
  <si>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</si>
  <si>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</si>
  <si>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</si>
  <si>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</si>
  <si>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</si>
  <si>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</si>
  <si>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</si>
  <si>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</si>
  <si>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</si>
  <si>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</si>
  <si>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</si>
  <si>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</si>
  <si>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</si>
  <si>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</si>
  <si>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</si>
  <si>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</si>
  <si>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</si>
  <si>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</si>
  <si>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</si>
  <si>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</si>
  <si>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</si>
  <si>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</si>
  <si>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</si>
  <si>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</si>
  <si>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</si>
  <si>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</si>
  <si>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</si>
  <si>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</si>
  <si>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</si>
  <si>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</si>
  <si>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</si>
  <si>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</si>
  <si>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</si>
  <si>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</si>
  <si>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</si>
  <si>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</si>
  <si>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</si>
  <si>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</si>
  <si>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</si>
  <si>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</si>
  <si>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</si>
  <si>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</si>
  <si>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</si>
  <si>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</si>
  <si>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</si>
  <si>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</si>
  <si>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</si>
  <si>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</si>
  <si>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</si>
  <si>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</si>
  <si>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</si>
  <si>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</si>
  <si>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</si>
  <si>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</si>
  <si>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</si>
  <si>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</si>
  <si>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</si>
  <si>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</si>
  <si>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</si>
  <si>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</si>
  <si>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</si>
  <si>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</si>
  <si>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</si>
  <si>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</si>
  <si>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</si>
  <si>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</si>
  <si>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</si>
  <si>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</si>
  <si>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</si>
  <si>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</si>
  <si>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</si>
  <si>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</si>
  <si>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</si>
  <si>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</si>
  <si>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</si>
  <si>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</si>
  <si>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</si>
  <si>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</si>
  <si>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</si>
  <si>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</si>
  <si>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</si>
  <si>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</si>
  <si>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</si>
  <si>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</si>
  <si>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</si>
  <si>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</si>
  <si>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</si>
  <si>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</si>
  <si>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</si>
  <si>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</si>
  <si>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</si>
  <si>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</si>
  <si>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</si>
  <si>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</si>
  <si>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</si>
  <si>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</si>
  <si>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</si>
  <si>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</si>
  <si>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</si>
  <si>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</si>
  <si>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</si>
  <si>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</si>
  <si>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</si>
  <si>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</si>
  <si>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</si>
  <si>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</si>
  <si>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</si>
  <si>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</si>
  <si>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</si>
  <si>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</si>
  <si>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</si>
  <si>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</si>
  <si>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</si>
  <si>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</si>
  <si>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</si>
  <si>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</si>
  <si>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</si>
  <si>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</si>
  <si>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</si>
  <si>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</si>
  <si>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</si>
  <si>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</si>
  <si>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</si>
  <si>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</si>
  <si>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</si>
  <si>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</si>
  <si>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</si>
  <si>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</si>
  <si>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</si>
  <si>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</si>
  <si>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</si>
  <si>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</si>
  <si>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</si>
  <si>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</si>
  <si>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</si>
  <si>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</si>
  <si>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</si>
  <si>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</si>
  <si>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</si>
  <si>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</si>
  <si>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</si>
  <si>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</si>
  <si>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</si>
  <si>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</si>
  <si>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</si>
  <si>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</si>
  <si>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</si>
  <si>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</si>
  <si>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</si>
  <si>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</si>
  <si>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</si>
  <si>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</si>
  <si>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</si>
  <si>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</si>
  <si>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</si>
  <si>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</si>
  <si>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</si>
  <si>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</si>
  <si>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</si>
  <si>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</si>
  <si>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</si>
  <si>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</si>
  <si>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</si>
  <si>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</si>
  <si>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</si>
  <si>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</si>
  <si>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</si>
  <si>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</si>
  <si>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</si>
  <si>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</si>
  <si>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</si>
  <si>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</si>
  <si>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</si>
  <si>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</si>
  <si>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</si>
  <si>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</si>
  <si>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</si>
  <si>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</si>
  <si>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</si>
  <si>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</si>
  <si>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</si>
  <si>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</si>
  <si>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</si>
  <si>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</si>
  <si>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</si>
  <si>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</si>
  <si>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</si>
  <si>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</si>
  <si>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</si>
  <si>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</si>
  <si>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</si>
  <si>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</si>
  <si>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</si>
  <si>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</si>
  <si>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</si>
  <si>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</si>
  <si>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</si>
  <si>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</si>
  <si>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</si>
  <si>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</si>
  <si>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</si>
  <si>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</si>
  <si>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</si>
  <si>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</si>
  <si>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</si>
  <si>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</si>
  <si>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</si>
  <si>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</si>
  <si>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</si>
  <si>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</si>
  <si>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</si>
  <si>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</si>
  <si>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</si>
  <si>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</si>
  <si>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</si>
  <si>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</si>
  <si>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</si>
  <si>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</si>
  <si>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</si>
  <si>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</si>
  <si>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</si>
  <si>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</si>
  <si>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</si>
  <si>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</si>
  <si>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</si>
  <si>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</si>
  <si>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</si>
  <si>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</si>
  <si>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</si>
  <si>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</si>
  <si>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</si>
  <si>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</si>
  <si>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</si>
  <si>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</si>
  <si>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</si>
  <si>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</si>
  <si>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</si>
  <si>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</si>
  <si>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</si>
  <si>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</si>
  <si>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</si>
  <si>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</si>
  <si>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</si>
  <si>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</si>
  <si>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</si>
  <si>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</si>
  <si>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</si>
  <si>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</si>
  <si>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</si>
  <si>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</si>
  <si>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</si>
  <si>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</si>
  <si>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</si>
  <si>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</si>
  <si>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</si>
  <si>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</si>
  <si>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</si>
  <si>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</si>
  <si>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</si>
  <si>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</si>
  <si>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</si>
  <si>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</si>
  <si>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</si>
  <si>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</si>
  <si>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</si>
  <si>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</si>
  <si>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</si>
  <si>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</si>
  <si>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</si>
  <si>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</si>
  <si>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</si>
  <si>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</si>
  <si>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</si>
  <si>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</si>
  <si>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</si>
  <si>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</si>
  <si>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</si>
  <si>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</si>
  <si>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</si>
  <si>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</si>
  <si>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</si>
  <si>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</si>
  <si>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</si>
  <si>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</si>
  <si>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</si>
  <si>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</si>
  <si>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</si>
  <si>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</si>
  <si>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</si>
  <si>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</si>
  <si>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</si>
  <si>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</si>
  <si>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</si>
  <si>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</si>
  <si>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</si>
  <si>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</si>
  <si>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</si>
  <si>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</si>
  <si>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</si>
  <si>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</si>
  <si>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</si>
  <si>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</si>
  <si>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</si>
  <si>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</si>
  <si>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</si>
  <si>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</si>
  <si>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</si>
  <si>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</si>
  <si>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</si>
  <si>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</si>
  <si>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</si>
  <si>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</si>
  <si>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</si>
  <si>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</si>
  <si>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</si>
  <si>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</si>
  <si>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</si>
  <si>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</si>
  <si>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</si>
  <si>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</si>
  <si>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</si>
  <si>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</si>
  <si>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</si>
  <si>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</si>
  <si>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</si>
  <si>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</si>
  <si>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</si>
  <si>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</si>
  <si>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</si>
  <si>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</si>
  <si>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</si>
  <si>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</si>
  <si>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</si>
  <si>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</si>
  <si>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</si>
  <si>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</si>
  <si>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</si>
  <si>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</si>
  <si>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</si>
  <si>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</si>
  <si>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</si>
  <si>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</si>
  <si>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</si>
  <si>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</si>
  <si>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</si>
  <si>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</si>
  <si>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</si>
  <si>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</si>
  <si>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</si>
  <si>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</si>
  <si>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</si>
  <si>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</si>
  <si>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</si>
  <si>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</si>
  <si>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</si>
  <si>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</si>
  <si>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</si>
  <si>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</si>
  <si>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</si>
  <si>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</si>
  <si>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</si>
  <si>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</si>
  <si>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</si>
  <si>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</si>
  <si>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</si>
  <si>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</si>
  <si>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</si>
  <si>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</si>
  <si>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</si>
  <si>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</si>
  <si>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</si>
  <si>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</si>
  <si>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</si>
  <si>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</si>
  <si>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</si>
  <si>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</si>
  <si>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</si>
  <si>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</si>
  <si>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</si>
  <si>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</si>
  <si>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</si>
  <si>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</si>
  <si>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</si>
  <si>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</si>
  <si>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</si>
  <si>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</si>
  <si>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</si>
  <si>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</si>
  <si>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</si>
  <si>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</si>
  <si>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</si>
  <si>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</si>
  <si>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</si>
  <si>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</si>
  <si>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</si>
  <si>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</si>
  <si>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</si>
  <si>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</si>
  <si>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</si>
  <si>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</si>
  <si>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</si>
  <si>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</si>
  <si>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</si>
  <si>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</si>
  <si>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</si>
  <si>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</si>
  <si>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</si>
  <si>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</si>
  <si>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</si>
  <si>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</si>
  <si>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</si>
  <si>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</si>
  <si>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</si>
  <si>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</si>
  <si>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</si>
  <si>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</si>
  <si>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</si>
  <si>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</si>
  <si>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</si>
  <si>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</si>
  <si>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</si>
  <si>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</si>
  <si>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</si>
  <si>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</si>
  <si>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</si>
  <si>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</si>
  <si>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</si>
  <si>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</si>
  <si>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</si>
  <si>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</si>
  <si>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</si>
  <si>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</si>
  <si>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</si>
  <si>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</si>
  <si>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</si>
  <si>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</si>
  <si>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</si>
  <si>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</si>
  <si>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</si>
  <si>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</si>
  <si>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</si>
  <si>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</si>
  <si>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</si>
  <si>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</si>
  <si>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</si>
  <si>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</si>
  <si>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</si>
  <si>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</si>
  <si>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</si>
  <si>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</si>
  <si>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</si>
  <si>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</si>
  <si>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</si>
  <si>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</si>
  <si>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</si>
  <si>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</si>
  <si>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</si>
  <si>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</si>
  <si>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</si>
  <si>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</si>
  <si>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</si>
  <si>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</si>
  <si>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</si>
  <si>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</si>
  <si>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</si>
  <si>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</si>
  <si>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</si>
  <si>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</si>
  <si>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</si>
  <si>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</si>
  <si>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</si>
  <si>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</si>
  <si>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</si>
  <si>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</si>
  <si>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</si>
  <si>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</si>
  <si>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</si>
  <si>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</si>
  <si>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</si>
  <si>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</si>
  <si>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</si>
  <si>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</si>
  <si>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</si>
  <si>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</si>
  <si>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</si>
  <si>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</si>
  <si>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</si>
  <si>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</si>
  <si>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</si>
  <si>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</si>
  <si>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</si>
  <si>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</si>
  <si>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</si>
  <si>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</si>
  <si>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</si>
  <si>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</si>
  <si>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</si>
  <si>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</si>
  <si>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</si>
  <si>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</si>
  <si>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</si>
  <si>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</si>
  <si>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</si>
  <si>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</si>
  <si>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</si>
  <si>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</si>
  <si>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</si>
  <si>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</si>
  <si>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</si>
  <si>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</si>
  <si>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</si>
  <si>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</si>
  <si>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</si>
  <si>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</si>
  <si>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</si>
  <si>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</si>
  <si>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</si>
  <si>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</si>
  <si>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</si>
  <si>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</si>
  <si>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</si>
  <si>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</si>
  <si>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</si>
  <si>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</si>
  <si>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</si>
  <si>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</si>
  <si>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</si>
  <si>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</si>
  <si>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</si>
  <si>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</si>
  <si>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</si>
  <si>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</si>
  <si>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</si>
  <si>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</si>
  <si>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</si>
  <si>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</si>
  <si>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</si>
  <si>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</si>
  <si>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</si>
  <si>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</si>
  <si>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</si>
  <si>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</si>
  <si>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</si>
  <si>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</si>
  <si>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</si>
  <si>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</si>
  <si>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</si>
  <si>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</si>
  <si>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</si>
  <si>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</si>
  <si>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</si>
  <si>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</si>
  <si>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</si>
  <si>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</si>
  <si>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</si>
  <si>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</si>
  <si>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</si>
  <si>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</si>
  <si>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</si>
  <si>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</si>
  <si>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</si>
  <si>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</si>
  <si>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</si>
  <si>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</si>
  <si>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</si>
  <si>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</si>
  <si>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</si>
  <si>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</si>
  <si>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</si>
  <si>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</si>
  <si>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</si>
  <si>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</si>
  <si>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</si>
  <si>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</si>
  <si>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</si>
  <si>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</si>
  <si>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</si>
  <si>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</si>
  <si>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</si>
  <si>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</si>
  <si>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</si>
  <si>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</si>
  <si>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</si>
  <si>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</si>
  <si>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</si>
  <si>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</si>
  <si>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</si>
  <si>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</si>
  <si>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</si>
  <si>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</si>
  <si>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</si>
  <si>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</si>
  <si>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</si>
  <si>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</si>
  <si>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</si>
  <si>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</si>
  <si>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</si>
  <si>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</si>
  <si>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</si>
  <si>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</si>
  <si>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</si>
  <si>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</si>
  <si>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</si>
  <si>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</si>
  <si>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</si>
  <si>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</si>
  <si>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</si>
  <si>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</si>
  <si>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</si>
  <si>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</si>
  <si>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</si>
  <si>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</si>
  <si>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</si>
  <si>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</si>
  <si>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</si>
  <si>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</si>
  <si>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</si>
  <si>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</si>
  <si>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</si>
  <si>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</si>
  <si>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</si>
  <si>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</si>
  <si>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</si>
  <si>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</si>
  <si>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</si>
  <si>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</si>
  <si>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</si>
  <si>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</si>
  <si>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</si>
  <si>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</si>
  <si>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</si>
  <si>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</si>
  <si>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</si>
  <si>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</si>
  <si>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</si>
  <si>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</si>
  <si>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</si>
  <si>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</si>
  <si>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</si>
  <si>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</si>
  <si>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</si>
  <si>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</si>
  <si>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</si>
  <si>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</si>
  <si>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</si>
  <si>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</si>
  <si>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</si>
  <si>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</si>
  <si>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</si>
  <si>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</si>
  <si>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</si>
  <si>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</si>
  <si>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</si>
  <si>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</si>
  <si>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</si>
  <si>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</si>
  <si>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</si>
  <si>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</si>
  <si>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</si>
  <si>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</si>
  <si>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</si>
  <si>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</si>
  <si>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</si>
  <si>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</si>
  <si>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</si>
  <si>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</si>
  <si>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</si>
  <si>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</si>
  <si>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</si>
  <si>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</si>
  <si>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</si>
  <si>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</si>
  <si>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</si>
  <si>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</si>
  <si>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</si>
  <si>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</si>
  <si>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</si>
  <si>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</si>
  <si>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</si>
  <si>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</si>
  <si>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</si>
  <si>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</si>
  <si>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</si>
  <si>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</si>
  <si>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</si>
  <si>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</si>
  <si>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</si>
  <si>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</si>
  <si>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</si>
  <si>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</si>
  <si>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</si>
  <si>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</si>
  <si>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</si>
  <si>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</si>
  <si>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</si>
  <si>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</si>
  <si>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</si>
  <si>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</si>
  <si>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</si>
  <si>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</si>
  <si>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</si>
  <si>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</si>
  <si>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</si>
  <si>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</si>
  <si>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</si>
  <si>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</si>
  <si>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</si>
  <si>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</si>
  <si>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</si>
  <si>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</si>
  <si>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</si>
  <si>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</si>
  <si>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</si>
  <si>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</si>
  <si>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</si>
  <si>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</si>
  <si>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</si>
  <si>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</si>
  <si>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</si>
  <si>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</si>
  <si>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</si>
  <si>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</si>
  <si>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</si>
  <si>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</si>
  <si>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</si>
  <si>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</si>
  <si>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</si>
  <si>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</si>
  <si>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</si>
  <si>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</si>
  <si>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</si>
  <si>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</si>
  <si>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</si>
  <si>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</si>
  <si>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</si>
  <si>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</si>
  <si>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</si>
  <si>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</si>
  <si>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</si>
  <si>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</si>
  <si>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</si>
  <si>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</si>
  <si>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</si>
  <si>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</si>
  <si>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</si>
  <si>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</si>
  <si>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</si>
  <si>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</si>
  <si>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</si>
  <si>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</si>
  <si>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</si>
  <si>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</si>
  <si>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</si>
  <si>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</si>
  <si>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</si>
  <si>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</si>
  <si>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</si>
  <si>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</si>
  <si>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</si>
  <si>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</si>
  <si>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</si>
  <si>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</si>
  <si>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</si>
  <si>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</si>
  <si>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</si>
  <si>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</si>
  <si>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</si>
  <si>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</si>
  <si>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</si>
  <si>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</si>
  <si>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</si>
  <si>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</si>
  <si>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</si>
  <si>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</si>
  <si>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</si>
  <si>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</si>
  <si>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</si>
  <si>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</si>
  <si>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</si>
  <si>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</si>
  <si>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</si>
  <si>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</si>
  <si>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</si>
  <si>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</si>
  <si>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</si>
  <si>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</si>
  <si>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</si>
  <si>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</si>
  <si>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</si>
  <si>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</si>
  <si>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</si>
  <si>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</si>
  <si>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</si>
  <si>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</si>
  <si>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</si>
  <si>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</si>
  <si>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</si>
  <si>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</si>
  <si>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</si>
  <si>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</si>
  <si>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</si>
  <si>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</si>
  <si>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</si>
  <si>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</si>
  <si>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</si>
  <si>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</si>
  <si>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</si>
  <si>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</si>
  <si>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</si>
  <si>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</si>
  <si>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</si>
  <si>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</si>
  <si>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</si>
  <si>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</si>
  <si>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</si>
  <si>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</si>
  <si>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</si>
  <si>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</si>
  <si>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</si>
  <si>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</si>
  <si>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</si>
  <si>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</si>
  <si>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</si>
  <si>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</si>
  <si>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</si>
  <si>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</si>
  <si>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</si>
  <si>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</si>
  <si>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</si>
  <si>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</si>
  <si>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</si>
  <si>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</si>
  <si>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</si>
  <si>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</si>
  <si>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</si>
  <si>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</si>
  <si>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</si>
  <si>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</si>
  <si>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</si>
  <si>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</si>
  <si>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</si>
  <si>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</si>
  <si>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</si>
  <si>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</si>
  <si>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</si>
  <si>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</si>
  <si>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</si>
  <si>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</si>
  <si>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</si>
  <si>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</si>
  <si>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</si>
  <si>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</si>
  <si>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</si>
  <si>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</si>
  <si>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</si>
  <si>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</si>
  <si>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</si>
  <si>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</si>
  <si>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</si>
  <si>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</si>
  <si>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</si>
  <si>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</si>
  <si>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</si>
  <si>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</si>
  <si>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</si>
  <si>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</si>
  <si>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</si>
  <si>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</si>
  <si>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</si>
  <si>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</si>
  <si>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</si>
  <si>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</si>
  <si>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</si>
  <si>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</si>
  <si>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</si>
  <si>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</si>
  <si>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</si>
  <si>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</si>
  <si>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</si>
  <si>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</si>
  <si>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</si>
  <si>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</si>
  <si>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</si>
  <si>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</si>
  <si>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</si>
  <si>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</si>
  <si>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</si>
  <si>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</si>
  <si>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</si>
  <si>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</si>
  <si>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</si>
  <si>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</si>
  <si>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</si>
  <si>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</si>
  <si>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</si>
  <si>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</si>
  <si>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</si>
  <si>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</si>
  <si>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</si>
  <si>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</si>
  <si>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</si>
  <si>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</si>
  <si>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</si>
  <si>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</si>
  <si>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</si>
  <si>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</si>
  <si>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</si>
  <si>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</si>
  <si>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</si>
  <si>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</si>
  <si>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</si>
  <si>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</si>
  <si>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</si>
  <si>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</si>
  <si>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</si>
  <si>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</si>
  <si>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</si>
  <si>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</si>
  <si>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</si>
  <si>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</si>
  <si>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</si>
  <si>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</si>
  <si>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</si>
  <si>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</si>
  <si>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</si>
  <si>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</si>
  <si>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</si>
  <si>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</si>
  <si>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</si>
  <si>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</si>
  <si>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</si>
  <si>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</si>
  <si>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</si>
  <si>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</si>
  <si>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</si>
  <si>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</si>
  <si>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</si>
  <si>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</si>
  <si>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</si>
  <si>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</si>
  <si>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</si>
  <si>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</si>
  <si>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</si>
  <si>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</si>
  <si>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</si>
  <si>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</si>
  <si>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</si>
  <si>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</si>
  <si>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</si>
  <si>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</si>
  <si>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</si>
  <si>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</si>
  <si>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</si>
  <si>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</si>
  <si>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</si>
  <si>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</si>
  <si>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</si>
  <si>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</si>
  <si>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</si>
  <si>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</si>
  <si>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</si>
  <si>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</si>
  <si>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</si>
  <si>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</si>
  <si>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</si>
  <si>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</si>
  <si>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</si>
  <si>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</si>
  <si>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</si>
  <si>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</si>
  <si>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</si>
  <si>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</si>
  <si>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</si>
  <si>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</si>
  <si>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</si>
  <si>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</si>
  <si>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</si>
  <si>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</si>
  <si>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</si>
  <si>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</si>
  <si>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</si>
  <si>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</si>
  <si>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</si>
  <si>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</si>
  <si>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</si>
  <si>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</si>
  <si>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</si>
  <si>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</si>
  <si>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</si>
  <si>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</si>
  <si>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</si>
  <si>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</si>
  <si>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</si>
  <si>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</si>
  <si>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</si>
  <si>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</si>
  <si>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</si>
  <si>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</si>
  <si>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</si>
  <si>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</si>
  <si>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</si>
  <si>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</si>
  <si>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</si>
  <si>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</si>
  <si>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</si>
  <si>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</si>
  <si>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</si>
  <si>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</si>
  <si>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</si>
  <si>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</si>
  <si>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</si>
  <si>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</si>
  <si>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</si>
  <si>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</si>
  <si>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</si>
  <si>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</si>
  <si>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</si>
  <si>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</si>
  <si>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</si>
  <si>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</si>
  <si>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</si>
  <si>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</si>
  <si>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</si>
  <si>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</si>
  <si>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</si>
  <si>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</si>
  <si>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</si>
  <si>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</si>
  <si>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</si>
  <si>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</si>
  <si>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</si>
  <si>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</si>
  <si>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</si>
  <si>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</si>
  <si>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</si>
  <si>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</si>
  <si>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</si>
  <si>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</si>
  <si>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</si>
  <si>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</si>
  <si>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</si>
  <si>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</si>
  <si>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</si>
  <si>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</si>
  <si>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</si>
  <si>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</si>
  <si>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</si>
  <si>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</si>
  <si>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</si>
  <si>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</si>
  <si>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</si>
  <si>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</si>
  <si>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</si>
  <si>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</si>
  <si>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</si>
  <si>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</si>
  <si>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</si>
  <si>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</si>
  <si>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</si>
  <si>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</si>
  <si>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</si>
  <si>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</si>
  <si>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</si>
  <si>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</si>
  <si>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</si>
  <si>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</si>
  <si>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</si>
  <si>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</si>
  <si>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</si>
  <si>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</si>
  <si>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</si>
  <si>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</si>
  <si>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</si>
  <si>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</si>
  <si>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</si>
  <si>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</si>
  <si>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</si>
  <si>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</si>
  <si>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</si>
  <si>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</si>
  <si>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</si>
  <si>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</si>
  <si>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</si>
  <si>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</si>
  <si>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</si>
  <si>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</si>
  <si>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</si>
  <si>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</si>
  <si>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</si>
  <si>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</si>
  <si>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</si>
  <si>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</si>
  <si>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</si>
  <si>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</si>
  <si>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</si>
  <si>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</si>
  <si>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</si>
  <si>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</si>
  <si>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</si>
  <si>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</si>
  <si>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</si>
  <si>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</si>
  <si>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</si>
  <si>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</si>
  <si>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</si>
  <si>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</si>
  <si>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</si>
  <si>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</si>
  <si>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</si>
  <si>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</si>
  <si>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</si>
  <si>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</si>
  <si>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</si>
  <si>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</si>
  <si>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</si>
  <si>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</si>
  <si>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</si>
  <si>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</si>
  <si>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</si>
  <si>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</si>
  <si>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</si>
  <si>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</si>
  <si>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</si>
  <si>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</si>
  <si>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</si>
  <si>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</si>
  <si>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</si>
  <si>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</si>
  <si>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</si>
  <si>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</si>
  <si>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</si>
  <si>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</si>
  <si>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</si>
  <si>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</si>
  <si>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</si>
  <si>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</si>
  <si>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</si>
  <si>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</si>
  <si>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</si>
  <si>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</si>
  <si>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</si>
  <si>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</si>
  <si>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</si>
  <si>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</si>
  <si>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</si>
  <si>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</si>
  <si>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</si>
  <si>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</si>
  <si>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</si>
  <si>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</si>
  <si>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</si>
  <si>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</si>
  <si>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</si>
  <si>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</si>
  <si>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</si>
  <si>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</si>
  <si>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</si>
  <si>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</si>
  <si>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</si>
  <si>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</si>
  <si>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</si>
  <si>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</si>
  <si>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</si>
  <si>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</si>
  <si>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</si>
  <si>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</si>
  <si>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</si>
  <si>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</si>
  <si>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</si>
  <si>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</si>
  <si>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</si>
  <si>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</si>
  <si>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</si>
  <si>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</si>
  <si>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</si>
  <si>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</si>
  <si>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</si>
  <si>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</si>
  <si>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</si>
  <si>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</si>
  <si>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</si>
  <si>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</si>
  <si>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</si>
  <si>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</si>
  <si>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</si>
  <si>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</si>
  <si>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</si>
  <si>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</si>
  <si>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</si>
  <si>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</si>
  <si>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</si>
  <si>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</si>
  <si>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</si>
  <si>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</si>
  <si>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</si>
  <si>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</si>
  <si>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</si>
  <si>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</si>
  <si>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</si>
  <si>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</si>
  <si>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</si>
  <si>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</si>
  <si>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</si>
  <si>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</si>
  <si>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</si>
  <si>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</si>
  <si>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</si>
  <si>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</si>
  <si>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</si>
  <si>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</si>
  <si>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</si>
  <si>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</si>
  <si>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</si>
  <si>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</si>
  <si>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</si>
  <si>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</si>
  <si>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</si>
  <si>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</si>
  <si>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</si>
  <si>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</si>
  <si>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</si>
  <si>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</si>
  <si>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</si>
  <si>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</si>
  <si>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</si>
  <si>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</si>
  <si>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</si>
  <si>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</si>
  <si>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</si>
  <si>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</si>
  <si>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</si>
  <si>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</si>
  <si>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</si>
  <si>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</si>
  <si>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</si>
  <si>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</si>
  <si>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</si>
  <si>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</si>
  <si>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</si>
  <si>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</si>
  <si>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</si>
  <si>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</si>
  <si>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</si>
  <si>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</si>
  <si>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</si>
  <si>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</si>
  <si>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</si>
  <si>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</si>
  <si>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</si>
  <si>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</si>
  <si>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</si>
  <si>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</si>
  <si>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</si>
  <si>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</si>
  <si>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</si>
  <si>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</si>
  <si>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</si>
  <si>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</si>
  <si>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</si>
  <si>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</si>
  <si>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</si>
  <si>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</si>
  <si>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</si>
  <si>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</si>
  <si>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</si>
  <si>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</si>
  <si>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</si>
  <si>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</si>
  <si>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</si>
  <si>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</si>
  <si>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</si>
  <si>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</si>
  <si>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</si>
  <si>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</si>
  <si>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</si>
  <si>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</si>
  <si>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</si>
  <si>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</si>
  <si>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</si>
  <si>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</si>
  <si>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</si>
  <si>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</si>
  <si>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</si>
  <si>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</si>
  <si>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</si>
  <si>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</si>
  <si>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</si>
  <si>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</si>
  <si>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</si>
  <si>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</si>
  <si>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</si>
  <si>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</si>
  <si>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</si>
  <si>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</si>
  <si>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</si>
  <si>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</si>
  <si>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</si>
  <si>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</si>
  <si>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</si>
  <si>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</si>
  <si>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</si>
  <si>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</si>
  <si>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</si>
  <si>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</si>
  <si>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</si>
  <si>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</si>
  <si>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</si>
  <si>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</si>
  <si>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</si>
  <si>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</si>
  <si>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</si>
  <si>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</si>
  <si>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</si>
  <si>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</si>
  <si>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</si>
  <si>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</si>
  <si>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</si>
  <si>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</si>
  <si>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</si>
  <si>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</si>
  <si>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</si>
  <si>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</si>
  <si>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</si>
  <si>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</si>
  <si>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</si>
  <si>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</si>
  <si>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</si>
  <si>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</si>
  <si>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</si>
  <si>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</si>
  <si>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</si>
  <si>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</si>
  <si>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</si>
  <si>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</si>
  <si>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</si>
  <si>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</si>
  <si>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</si>
  <si>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</si>
  <si>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</si>
  <si>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</si>
  <si>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</si>
  <si>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</si>
  <si>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</si>
  <si>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</si>
  <si>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</si>
  <si>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</si>
  <si>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</si>
  <si>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</si>
  <si>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</si>
  <si>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</si>
  <si>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</si>
  <si>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</si>
  <si>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</si>
  <si>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</si>
  <si>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</si>
  <si>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</si>
  <si>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</si>
  <si>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</si>
  <si>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</si>
  <si>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</si>
  <si>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</si>
  <si>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</si>
  <si>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</si>
  <si>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</si>
  <si>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</si>
  <si>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</si>
  <si>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</si>
  <si>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</si>
  <si>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</si>
  <si>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</si>
  <si>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</si>
  <si>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</si>
  <si>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</si>
  <si>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</si>
  <si>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</si>
  <si>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</si>
  <si>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</si>
  <si>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</si>
  <si>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</si>
  <si>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</si>
  <si>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</si>
  <si>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</si>
  <si>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</si>
  <si>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</si>
  <si>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</si>
  <si>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</si>
  <si>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</si>
  <si>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</si>
  <si>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</si>
  <si>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</si>
  <si>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</si>
  <si>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</si>
  <si>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</si>
  <si>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</si>
  <si>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</si>
  <si>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</si>
  <si>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</si>
  <si>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</si>
  <si>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</si>
  <si>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</si>
  <si>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</si>
  <si>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</si>
  <si>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</si>
  <si>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</si>
  <si>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</si>
  <si>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</si>
  <si>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</si>
  <si>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</si>
  <si>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</si>
  <si>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</si>
  <si>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</si>
  <si>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</si>
  <si>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</si>
  <si>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</si>
  <si>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</si>
  <si>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</si>
  <si>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</si>
  <si>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</si>
  <si>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</si>
  <si>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</si>
  <si>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</si>
  <si>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</si>
  <si>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</si>
  <si>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</si>
  <si>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</si>
  <si>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</si>
  <si>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</si>
  <si>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</si>
  <si>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</si>
  <si>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</si>
  <si>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</si>
  <si>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</si>
  <si>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</si>
  <si>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</si>
  <si>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</si>
  <si>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</si>
  <si>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</si>
  <si>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</si>
  <si>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</si>
  <si>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</si>
  <si>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</si>
  <si>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</si>
  <si>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</si>
  <si>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</si>
  <si>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</si>
  <si>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</si>
  <si>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</si>
  <si>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</si>
  <si>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</si>
  <si>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</si>
  <si>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</si>
  <si>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</si>
  <si>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</si>
  <si>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</si>
  <si>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</si>
  <si>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</si>
  <si>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</si>
  <si>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</si>
  <si>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</si>
  <si>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</si>
  <si>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</si>
  <si>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</si>
  <si>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</si>
  <si>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</si>
  <si>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</si>
  <si>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</si>
  <si>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</si>
  <si>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</si>
  <si>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</si>
  <si>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</si>
  <si>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</si>
  <si>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</si>
  <si>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</si>
  <si>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</si>
  <si>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</si>
  <si>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</si>
  <si>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</si>
  <si>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</si>
  <si>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</si>
  <si>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</si>
  <si>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</si>
  <si>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</si>
  <si>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</si>
  <si>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</si>
  <si>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</si>
  <si>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</si>
  <si>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</si>
  <si>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</si>
  <si>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</si>
  <si>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</si>
  <si>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</si>
  <si>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</si>
  <si>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</si>
  <si>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</si>
  <si>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</si>
  <si>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</si>
  <si>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</si>
  <si>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</si>
  <si>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</si>
  <si>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</si>
  <si>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</si>
  <si>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</si>
  <si>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</si>
  <si>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</si>
  <si>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</si>
  <si>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</si>
  <si>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</si>
  <si>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</si>
  <si>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</si>
  <si>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</si>
  <si>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</si>
  <si>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</si>
  <si>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</si>
  <si>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</si>
  <si>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</si>
  <si>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</si>
  <si>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</si>
  <si>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</si>
  <si>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</si>
  <si>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</si>
  <si>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</si>
  <si>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</si>
  <si>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</si>
  <si>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</si>
  <si>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</si>
  <si>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</si>
  <si>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</si>
  <si>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</si>
  <si>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</si>
  <si>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</si>
  <si>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</si>
  <si>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</si>
  <si>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</si>
  <si>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</si>
  <si>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</si>
  <si>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</si>
  <si>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</si>
  <si>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</si>
  <si>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</si>
  <si>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</si>
  <si>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</si>
  <si>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</si>
  <si>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</si>
  <si>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</si>
  <si>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</si>
  <si>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</si>
  <si>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</si>
  <si>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</si>
  <si>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</si>
  <si>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</si>
  <si>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</si>
  <si>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</si>
  <si>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</si>
  <si>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</si>
  <si>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 xml:space="preserve">پارس 1643 تا </t>
  </si>
  <si>
    <t xml:space="preserve">وغدیر 156832 تا </t>
  </si>
  <si>
    <t>زاگرس 13799 تا 11673.9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</si>
</sst>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9" fontId="0" fillId="0" borderId="1" xfId="0" applyNumberFormat="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5583</v>
      </c>
      <c r="P75" s="18">
        <v>300000</v>
      </c>
      <c r="Q75" s="99">
        <v>3</v>
      </c>
      <c r="R75" s="99"/>
    </row>
    <row r="76" spans="1:21">
      <c r="A76" s="96"/>
      <c r="B76" s="96"/>
      <c r="E76" s="96"/>
      <c r="F76" s="96"/>
      <c r="O76" s="99" t="s">
        <v>5590</v>
      </c>
      <c r="P76" s="18">
        <v>-300000</v>
      </c>
      <c r="Q76" s="99">
        <v>9</v>
      </c>
      <c r="R76" s="99"/>
    </row>
    <row r="77" spans="1:21">
      <c r="A77" s="96"/>
      <c r="B77" s="96"/>
      <c r="E77" s="96"/>
      <c r="F77" s="96"/>
      <c r="O77" s="99" t="s">
        <v>5618</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5576</v>
      </c>
      <c r="I128" t="s">
        <v>25</v>
      </c>
    </row>
    <row r="129" spans="4:5">
      <c r="D129" s="18">
        <v>-250000</v>
      </c>
      <c r="E129" s="251" t="s">
        <v>5589</v>
      </c>
    </row>
    <row r="130" spans="4:5">
      <c r="D130" s="18">
        <v>-550000</v>
      </c>
      <c r="E130" s="251" t="s">
        <v>5603</v>
      </c>
    </row>
    <row r="131" spans="4:5">
      <c r="D131" s="18">
        <v>210000</v>
      </c>
      <c r="E131" s="251" t="s">
        <v>5604</v>
      </c>
    </row>
    <row r="132" spans="4:5">
      <c r="D132" s="18">
        <v>-724200</v>
      </c>
      <c r="E132" s="251" t="s">
        <v>5656</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5619</v>
      </c>
      <c r="B406" s="113">
        <v>1200000</v>
      </c>
      <c r="C406" s="99">
        <v>1</v>
      </c>
      <c r="D406" s="99">
        <f t="shared" si="31"/>
        <v>2</v>
      </c>
      <c r="E406" s="99">
        <f t="shared" si="32"/>
        <v>0</v>
      </c>
      <c r="F406" s="99">
        <f t="shared" si="33"/>
        <v>2400000</v>
      </c>
      <c r="G406" s="99"/>
    </row>
    <row r="407" spans="1:15">
      <c r="A407" s="99" t="s">
        <v>5591</v>
      </c>
      <c r="B407" s="113">
        <v>-1200000</v>
      </c>
      <c r="C407" s="99">
        <v>0</v>
      </c>
      <c r="D407" s="99">
        <f t="shared" si="31"/>
        <v>1</v>
      </c>
      <c r="E407" s="99">
        <f t="shared" si="32"/>
        <v>0</v>
      </c>
      <c r="F407" s="99">
        <f t="shared" si="33"/>
        <v>-1200000</v>
      </c>
      <c r="G407" s="99"/>
      <c r="O407" t="s">
        <v>25</v>
      </c>
    </row>
    <row r="408" spans="1:15">
      <c r="A408" s="99" t="s">
        <v>5591</v>
      </c>
      <c r="B408" s="113">
        <v>-784</v>
      </c>
      <c r="C408" s="99">
        <v>1</v>
      </c>
      <c r="D408" s="99">
        <f t="shared" si="31"/>
        <v>1</v>
      </c>
      <c r="E408" s="99">
        <f t="shared" si="32"/>
        <v>0</v>
      </c>
      <c r="F408" s="99">
        <f t="shared" si="33"/>
        <v>-784</v>
      </c>
      <c r="G408" s="99" t="s">
        <v>5620</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G100"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3882798084.6126504</v>
      </c>
      <c r="M21" s="168" t="s">
        <v>4290</v>
      </c>
      <c r="N21" s="113">
        <f>O21*P21</f>
        <v>1587374580</v>
      </c>
      <c r="O21" s="99">
        <v>1309715</v>
      </c>
      <c r="P21" s="185">
        <f>P52</f>
        <v>1212</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5635</v>
      </c>
      <c r="N22" s="113">
        <f>O22*P22</f>
        <v>520125</v>
      </c>
      <c r="O22" s="99">
        <v>57</v>
      </c>
      <c r="P22" s="185">
        <f>P46</f>
        <v>9125</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4095078147.7126503</v>
      </c>
      <c r="G24" s="95">
        <f t="shared" si="0"/>
        <v>-3814771802.3307118</v>
      </c>
      <c r="H24" s="11"/>
      <c r="I24" s="96"/>
      <c r="J24" s="96"/>
      <c r="K24" s="213"/>
      <c r="L24" s="117"/>
      <c r="M24" s="213" t="s">
        <v>5596</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498100</v>
      </c>
      <c r="O25" s="99">
        <v>34</v>
      </c>
      <c r="P25" s="185">
        <f>P47</f>
        <v>14650</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5635</v>
      </c>
      <c r="N29" s="113">
        <f>O29*P29</f>
        <v>529250</v>
      </c>
      <c r="O29" s="69">
        <v>58</v>
      </c>
      <c r="P29" s="99">
        <f>P46</f>
        <v>9125</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5596</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219754992</v>
      </c>
      <c r="O31" s="69">
        <v>181316</v>
      </c>
      <c r="P31" s="99">
        <f>P52</f>
        <v>1212</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5555</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5255</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-3882798084.6126504</v>
      </c>
      <c r="Q34" s="169">
        <v>16396298</v>
      </c>
      <c r="R34" s="213" t="s">
        <v>5497</v>
      </c>
      <c r="S34" s="197">
        <f>S33-156</f>
        <v>71</v>
      </c>
      <c r="T34" s="213" t="s">
        <v>5498</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63</v>
      </c>
      <c r="T35" s="213" t="s">
        <v>5507</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62</v>
      </c>
      <c r="T36" s="213" t="s">
        <v>5509</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58</v>
      </c>
      <c r="T37" s="213" t="s">
        <v>5513</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56</v>
      </c>
      <c r="T38" s="213" t="s">
        <v>5517</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55</v>
      </c>
      <c r="T39" s="213" t="s">
        <v>5522</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52</v>
      </c>
      <c r="T40" s="213" t="s">
        <v>5528</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51</v>
      </c>
      <c r="T41" s="213" t="s">
        <v>5531</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398</v>
      </c>
      <c r="O42" s="114"/>
      <c r="P42" t="s">
        <v>25</v>
      </c>
      <c r="Q42" s="169">
        <v>291615</v>
      </c>
      <c r="R42" s="213" t="s">
        <v>5530</v>
      </c>
      <c r="S42" s="197">
        <f>S41</f>
        <v>51</v>
      </c>
      <c r="T42" s="213" t="s">
        <v>5636</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5638</v>
      </c>
      <c r="L43" s="117">
        <v>-70000000</v>
      </c>
      <c r="M43" s="168"/>
      <c r="N43" s="113"/>
      <c r="O43" s="99"/>
      <c r="P43" s="99"/>
      <c r="Q43" s="169">
        <v>7413007</v>
      </c>
      <c r="R43" s="213" t="s">
        <v>5542</v>
      </c>
      <c r="S43" s="197">
        <f>S42-6</f>
        <v>45</v>
      </c>
      <c r="T43" s="213" t="s">
        <v>5543</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5570</v>
      </c>
      <c r="L44" s="117">
        <v>-35425716</v>
      </c>
      <c r="M44" s="21" t="s">
        <v>5647</v>
      </c>
      <c r="N44" s="117">
        <f>O44*P44</f>
        <v>88091665.200000003</v>
      </c>
      <c r="O44" s="69">
        <v>5412</v>
      </c>
      <c r="P44" s="69">
        <f>P48</f>
        <v>16277.1</v>
      </c>
      <c r="Q44" s="169">
        <v>64446280</v>
      </c>
      <c r="R44" s="213" t="s">
        <v>5545</v>
      </c>
      <c r="S44" s="197">
        <f>S43-3</f>
        <v>42</v>
      </c>
      <c r="T44" s="213" t="s">
        <v>5548</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5648</v>
      </c>
      <c r="L45" s="117">
        <f>N44</f>
        <v>88091665.200000003</v>
      </c>
      <c r="M45" s="21" t="s">
        <v>5324</v>
      </c>
      <c r="N45" s="117">
        <f t="shared" ref="N45:N55" si="16">O45*P45</f>
        <v>0</v>
      </c>
      <c r="O45" s="69">
        <v>0</v>
      </c>
      <c r="P45" s="69">
        <v>87325</v>
      </c>
      <c r="Q45" s="169">
        <v>213700698.66730785</v>
      </c>
      <c r="R45" s="213" t="s">
        <v>5394</v>
      </c>
      <c r="S45" s="197">
        <f>S44-6</f>
        <v>36</v>
      </c>
      <c r="T45" s="213" t="s">
        <v>5582</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5639</v>
      </c>
      <c r="L46" s="117">
        <f>J148</f>
        <v>317061630.90000004</v>
      </c>
      <c r="M46" s="21" t="s">
        <v>5635</v>
      </c>
      <c r="N46" s="117">
        <f t="shared" si="16"/>
        <v>520125</v>
      </c>
      <c r="O46" s="69">
        <v>57</v>
      </c>
      <c r="P46" s="69">
        <v>9125</v>
      </c>
      <c r="Q46" s="169">
        <v>35002507</v>
      </c>
      <c r="R46" s="213" t="s">
        <v>5551</v>
      </c>
      <c r="S46" s="197">
        <f>S45-1</f>
        <v>35</v>
      </c>
      <c r="T46" s="213" t="s">
        <v>5581</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47568550</v>
      </c>
      <c r="O47" s="69">
        <v>3247</v>
      </c>
      <c r="P47" s="69">
        <v>14650</v>
      </c>
      <c r="Q47" s="169">
        <v>5030993</v>
      </c>
      <c r="R47" s="213" t="s">
        <v>5563</v>
      </c>
      <c r="S47" s="197">
        <f>S46-1</f>
        <v>34</v>
      </c>
      <c r="T47" s="213" t="s">
        <v>5564</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5579</v>
      </c>
      <c r="S48" s="197">
        <f>S47-11</f>
        <v>23</v>
      </c>
      <c r="T48" s="213" t="s">
        <v>5580</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5584</v>
      </c>
      <c r="S49" s="197">
        <f>S48-2</f>
        <v>21</v>
      </c>
      <c r="T49" s="213" t="s">
        <v>5607</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7573</v>
      </c>
      <c r="Q50" s="169">
        <v>7739400</v>
      </c>
      <c r="R50" s="213" t="s">
        <v>5591</v>
      </c>
      <c r="S50" s="197">
        <f>S49-4</f>
        <v>17</v>
      </c>
      <c r="T50" s="213" t="s">
        <v>5606</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5597</v>
      </c>
      <c r="N51" s="117">
        <f t="shared" si="16"/>
        <v>1990000</v>
      </c>
      <c r="O51" s="69">
        <v>199</v>
      </c>
      <c r="P51" s="69">
        <v>10000</v>
      </c>
      <c r="Q51" s="169">
        <v>372863</v>
      </c>
      <c r="R51" s="213" t="s">
        <v>5617</v>
      </c>
      <c r="S51" s="197">
        <f>S50-4</f>
        <v>13</v>
      </c>
      <c r="T51" s="213" t="s">
        <v>5641</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5605</v>
      </c>
      <c r="L52" s="117">
        <f>-5022711-4900*P52-20000000</f>
        <v>-30961511</v>
      </c>
      <c r="M52" s="19" t="s">
        <v>4173</v>
      </c>
      <c r="N52" s="113">
        <f>O52*P52</f>
        <v>3789685236</v>
      </c>
      <c r="O52" s="99">
        <v>3126803</v>
      </c>
      <c r="P52" s="99">
        <v>1212</v>
      </c>
      <c r="Q52" s="169">
        <v>20015559</v>
      </c>
      <c r="R52" s="213" t="s">
        <v>5618</v>
      </c>
      <c r="S52" s="197">
        <f>S51-3</f>
        <v>10</v>
      </c>
      <c r="T52" s="213" t="s">
        <v>5643</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5652</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767000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1382670370.55829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-101814499.43916786</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3271208909.048182</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4095078147.7126503</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4195078147.7126503</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5452</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100</v>
      </c>
      <c r="T72" s="189" t="s">
        <v>5451</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98</v>
      </c>
      <c r="T73" s="189" t="s">
        <v>5456</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92</v>
      </c>
      <c r="T74" s="189" t="s">
        <v>5473</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87</v>
      </c>
      <c r="T75" s="189" t="s">
        <v>5476</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64</v>
      </c>
      <c r="T76" s="189" t="s">
        <v>5504</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48</v>
      </c>
      <c r="T77" s="189" t="s">
        <v>5535</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42</v>
      </c>
      <c r="T78" s="189" t="s">
        <v>5637</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34</v>
      </c>
      <c r="T79" s="189" t="s">
        <v>5565</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5617</v>
      </c>
      <c r="S80" s="197">
        <f>S79-21</f>
        <v>13</v>
      </c>
      <c r="T80" s="189" t="s">
        <v>5641</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196487556.80000001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6328.3828382838283</v>
      </c>
      <c r="G107" s="199">
        <f>P52</f>
        <v>1212</v>
      </c>
      <c r="H107" s="199" t="s">
        <v>4749</v>
      </c>
      <c r="I107" s="199" t="s">
        <v>5393</v>
      </c>
      <c r="J107" s="214" t="s">
        <v>4233</v>
      </c>
      <c r="K107" s="199">
        <v>210</v>
      </c>
      <c r="L107" s="215">
        <f t="shared" ref="L107:L112" si="32">K107*$L$115</f>
        <v>1610700000</v>
      </c>
      <c r="M107" s="215">
        <f>N21+N31+N52+N44</f>
        <v>5684906473.1999998</v>
      </c>
      <c r="N107" s="183">
        <f t="shared" ref="N107:N112" si="33">L107-M107</f>
        <v>-4074206473.1999998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5394</v>
      </c>
      <c r="J108" s="32" t="s">
        <v>4382</v>
      </c>
      <c r="K108" s="213">
        <v>33</v>
      </c>
      <c r="L108" s="1">
        <f t="shared" si="32"/>
        <v>253110000</v>
      </c>
      <c r="M108" s="1">
        <f>N48+N28+N23</f>
        <v>1571374956.9000001</v>
      </c>
      <c r="N108" s="113">
        <f t="shared" si="33"/>
        <v>-1318264956.9000001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14650</v>
      </c>
      <c r="H109" s="199" t="s">
        <v>5040</v>
      </c>
      <c r="I109" s="199" t="s">
        <v>5395</v>
      </c>
      <c r="J109" s="214" t="s">
        <v>4378</v>
      </c>
      <c r="K109" s="199">
        <v>0</v>
      </c>
      <c r="L109" s="215">
        <f t="shared" si="32"/>
        <v>0</v>
      </c>
      <c r="M109" s="215">
        <f>N47+N25</f>
        <v>48066650</v>
      </c>
      <c r="N109" s="183">
        <f t="shared" si="33"/>
        <v>-48066650</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26975</v>
      </c>
      <c r="N110" s="188">
        <f t="shared" si="33"/>
        <v>-26975</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7670000</v>
      </c>
      <c r="M111" s="215">
        <v>0</v>
      </c>
      <c r="N111" s="183">
        <f t="shared" si="33"/>
        <v>7670000</v>
      </c>
      <c r="Q111" s="169">
        <v>104750654</v>
      </c>
      <c r="R111" s="213" t="s">
        <v>4941</v>
      </c>
      <c r="S111" s="213">
        <f>S110-9</f>
        <v>386</v>
      </c>
      <c r="T111" s="213" t="s">
        <v>5552</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696</v>
      </c>
      <c r="L112" s="254">
        <f t="shared" si="32"/>
        <v>5338320000</v>
      </c>
      <c r="M112" s="254">
        <v>0</v>
      </c>
      <c r="N112" s="86">
        <f t="shared" si="33"/>
        <v>5338320000</v>
      </c>
      <c r="Q112" s="169">
        <v>7032.8</v>
      </c>
      <c r="R112" s="213" t="s">
        <v>5319</v>
      </c>
      <c r="S112" s="213">
        <f>S111-240</f>
        <v>146</v>
      </c>
      <c r="T112" s="213" t="s">
        <v>5327</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140</v>
      </c>
      <c r="T113" s="213" t="s">
        <v>5333</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940</v>
      </c>
      <c r="L114" s="215"/>
      <c r="M114" s="215"/>
      <c r="N114" s="183"/>
      <c r="Q114" s="169">
        <v>632415</v>
      </c>
      <c r="R114" s="213" t="s">
        <v>5340</v>
      </c>
      <c r="S114" s="213">
        <f>S113-5</f>
        <v>135</v>
      </c>
      <c r="T114" s="213" t="s">
        <v>5342</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7670000</v>
      </c>
      <c r="M115" s="1">
        <f>K115*L115</f>
        <v>0</v>
      </c>
      <c r="N115" s="113">
        <f>SUM(N107:N113)-M115</f>
        <v>-4575055.1000003815</v>
      </c>
      <c r="P115" s="114"/>
      <c r="Q115" s="169">
        <v>6417109</v>
      </c>
      <c r="R115" s="213" t="s">
        <v>5343</v>
      </c>
      <c r="S115" s="213">
        <f>S114-1</f>
        <v>134</v>
      </c>
      <c r="T115" s="213" t="s">
        <v>5344</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133</v>
      </c>
      <c r="T116" s="213" t="s">
        <v>5349</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129</v>
      </c>
      <c r="T117" s="213" t="s">
        <v>5351</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5359</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126</v>
      </c>
      <c r="T119" s="213" t="s">
        <v>5375</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115</v>
      </c>
      <c r="T120" s="213" t="s">
        <v>5382</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114</v>
      </c>
      <c r="T121" s="213" t="s">
        <v>5388</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111</v>
      </c>
      <c r="T122" s="213" t="s">
        <v>5496</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71</v>
      </c>
      <c r="T123" s="213" t="s">
        <v>5499</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1212</v>
      </c>
      <c r="H124" s="213" t="s">
        <v>4233</v>
      </c>
      <c r="I124" s="213">
        <v>241029</v>
      </c>
      <c r="J124" s="1">
        <f>I124*G124</f>
        <v>292127148</v>
      </c>
      <c r="K124" s="19" t="s">
        <v>4378</v>
      </c>
      <c r="L124" s="169">
        <v>1100000</v>
      </c>
      <c r="M124" s="169">
        <v>4300000</v>
      </c>
      <c r="N124" s="168">
        <f t="shared" si="38"/>
        <v>290.90909090909093</v>
      </c>
      <c r="Q124" s="169">
        <v>7374741</v>
      </c>
      <c r="R124" s="213" t="s">
        <v>5505</v>
      </c>
      <c r="S124" s="213">
        <f>S123-8</f>
        <v>63</v>
      </c>
      <c r="T124" s="213" t="s">
        <v>5506</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5510</v>
      </c>
      <c r="S125" s="213">
        <f>S124-4</f>
        <v>59</v>
      </c>
      <c r="T125" s="213" t="s">
        <v>5511</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57</v>
      </c>
      <c r="T126" s="213" t="s">
        <v>5516</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253467181.5</v>
      </c>
      <c r="J127" s="1">
        <f>SUM(J124:J126)</f>
        <v>333389596.5</v>
      </c>
      <c r="K127" s="19" t="s">
        <v>4382</v>
      </c>
      <c r="L127" s="169">
        <v>1100000</v>
      </c>
      <c r="M127" s="169">
        <v>7728000</v>
      </c>
      <c r="N127" s="168">
        <f t="shared" si="38"/>
        <v>602.5454545454545</v>
      </c>
      <c r="Q127" s="169">
        <v>17185077</v>
      </c>
      <c r="R127" s="213" t="s">
        <v>5515</v>
      </c>
      <c r="S127" s="213">
        <f>S126-1</f>
        <v>56</v>
      </c>
      <c r="T127" s="213" t="s">
        <v>5520</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55</v>
      </c>
      <c r="T128" s="213" t="s">
        <v>5521</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52</v>
      </c>
      <c r="T129" s="213" t="s">
        <v>5587</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5618</v>
      </c>
      <c r="I130" s="213" t="s">
        <v>5646</v>
      </c>
      <c r="J130" s="1">
        <v>36319143</v>
      </c>
      <c r="K130" s="240" t="s">
        <v>5467</v>
      </c>
      <c r="Q130" s="169">
        <v>51910020</v>
      </c>
      <c r="R130" s="213" t="s">
        <v>5526</v>
      </c>
      <c r="S130" s="213">
        <f>S129</f>
        <v>52</v>
      </c>
      <c r="T130" s="213" t="s">
        <v>5527</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1212</v>
      </c>
      <c r="H131" s="213" t="s">
        <v>4233</v>
      </c>
      <c r="I131" s="213">
        <v>68595</v>
      </c>
      <c r="J131" s="1">
        <f>G131*I131</f>
        <v>83137140</v>
      </c>
      <c r="K131" s="240" t="s">
        <v>4546</v>
      </c>
      <c r="Q131" s="169">
        <v>15223196.506844705</v>
      </c>
      <c r="R131" s="213" t="s">
        <v>5530</v>
      </c>
      <c r="S131" s="213">
        <f>S130-1</f>
        <v>51</v>
      </c>
      <c r="T131" s="213" t="s">
        <v>5585</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5551</v>
      </c>
      <c r="S132" s="213">
        <f>S131-16</f>
        <v>35</v>
      </c>
      <c r="T132" s="213" t="s">
        <v>5558</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74537898.299999997</v>
      </c>
      <c r="J133" s="1">
        <f>SUM(J131:J132)</f>
        <v>110857041.3</v>
      </c>
      <c r="Q133" s="169">
        <v>5032020</v>
      </c>
      <c r="R133" s="213" t="s">
        <v>5563</v>
      </c>
      <c r="S133" s="213">
        <f>S132-1</f>
        <v>34</v>
      </c>
      <c r="T133" s="213" t="s">
        <v>5566</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5569</v>
      </c>
      <c r="S134" s="213">
        <f>S133-4</f>
        <v>30</v>
      </c>
      <c r="T134" s="213" t="s">
        <v>5662</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5586</v>
      </c>
      <c r="S135" s="213">
        <f>S134-10</f>
        <v>20</v>
      </c>
      <c r="T135" s="213" t="s">
        <v>5672</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372863</v>
      </c>
      <c r="R136" s="213" t="s">
        <v>5617</v>
      </c>
      <c r="S136" s="213">
        <f>S135-7</f>
        <v>13</v>
      </c>
      <c r="T136" s="213" t="s">
        <v>5641</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1212</v>
      </c>
      <c r="H137" s="213" t="s">
        <v>4233</v>
      </c>
      <c r="I137" s="213">
        <v>46582</v>
      </c>
      <c r="J137" s="1">
        <f>G137*I137</f>
        <v>56457384</v>
      </c>
      <c r="K137" t="s">
        <v>25</v>
      </c>
      <c r="Q137" s="169">
        <v>7744156</v>
      </c>
      <c r="R137" s="213" t="s">
        <v>5649</v>
      </c>
      <c r="S137" s="213">
        <f>S136-4</f>
        <v>9</v>
      </c>
      <c r="T137" s="213" t="s">
        <v>5650</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5654</v>
      </c>
      <c r="S138" s="213">
        <f>S137-2</f>
        <v>7</v>
      </c>
      <c r="T138" s="213" t="s">
        <v>5655</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46662384</v>
      </c>
      <c r="J139" s="1">
        <f>SUM(J137:J138)</f>
        <v>66457384</v>
      </c>
      <c r="K139" t="s">
        <v>25</v>
      </c>
      <c r="P139" t="s">
        <v>25</v>
      </c>
      <c r="Q139" s="169">
        <v>439147337</v>
      </c>
      <c r="R139" s="213" t="s">
        <v>5663</v>
      </c>
      <c r="S139" s="213">
        <f>S138-8</f>
        <v>-1</v>
      </c>
      <c r="T139" s="213" t="s">
        <v>5664</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5665</v>
      </c>
      <c r="S140" s="213">
        <f>S139-3</f>
        <v>-4</v>
      </c>
      <c r="T140" s="213" t="s">
        <v>5667</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5666</v>
      </c>
      <c r="S141" s="213">
        <f>S140-1</f>
        <v>-5</v>
      </c>
      <c r="T141" s="213" t="s">
        <v>5668</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5617</v>
      </c>
      <c r="I142" s="213" t="s">
        <v>5631</v>
      </c>
      <c r="J142" s="1">
        <v>150000000</v>
      </c>
      <c r="K142" t="s">
        <v>25</v>
      </c>
      <c r="Q142" s="169" t="s">
        <v>4926</v>
      </c>
      <c r="R142" s="213" t="s">
        <v>5669</v>
      </c>
      <c r="S142" s="213">
        <f>S141-1</f>
        <v>-6</v>
      </c>
      <c r="T142" s="213" t="s">
        <v>5670</v>
      </c>
      <c r="U142" s="213"/>
      <c r="V142" s="99"/>
      <c r="W142" s="32"/>
      <c r="X142" s="32"/>
      <c r="Y142" t="s">
        <v>25</v>
      </c>
      <c r="AH142" s="20">
        <v>122</v>
      </c>
      <c r="AI142" s="117" t="s">
        <v>971</v>
      </c>
      <c r="AJ142" s="117">
        <v>30000</v>
      </c>
      <c r="AK142" s="20">
        <v>3</v>
      </c>
      <c r="AL142" s="20">
        <f t="shared" si="44"/>
        <v>344</v>
      </c>
      <c r="AM142" s="117">
        <f t="shared" si="40"/>
        <v>10320000</v>
      </c>
      <c r="AN142" s="20"/>
    </row>
    <row r="143" spans="7:43">
      <c r="G143" s="1">
        <f>P52</f>
        <v>1212</v>
      </c>
      <c r="H143" s="213" t="s">
        <v>4233</v>
      </c>
      <c r="I143" s="213">
        <v>0</v>
      </c>
      <c r="J143" s="1">
        <f>G143*I143</f>
        <v>0</v>
      </c>
      <c r="P143" t="s">
        <v>25</v>
      </c>
      <c r="Q143" s="169" t="s">
        <v>4926</v>
      </c>
      <c r="R143" s="213" t="s">
        <v>5669</v>
      </c>
      <c r="S143" s="213">
        <f>S142</f>
        <v>-6</v>
      </c>
      <c r="T143" s="213" t="s">
        <v>5671</v>
      </c>
      <c r="U143" s="213"/>
      <c r="V143" s="99"/>
      <c r="W143" s="32"/>
      <c r="X143" s="32"/>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2651007691.1079092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5571</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5617</v>
      </c>
      <c r="I151" s="213" t="s">
        <v>5640</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5634</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3086996060.1065106</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3882798084.6126504</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101814499.43916786</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229555791.17674601</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5465</v>
      </c>
      <c r="V158" s="322">
        <v>2394</v>
      </c>
      <c r="W158" s="90">
        <f>V158*$T$361</f>
        <v>4759507.7649255618</v>
      </c>
      <c r="X158" s="115"/>
      <c r="Y158" s="96"/>
      <c r="Z158" s="96"/>
      <c r="AH158" s="99">
        <v>138</v>
      </c>
      <c r="AI158" s="113" t="s">
        <v>4946</v>
      </c>
      <c r="AJ158" s="113">
        <v>100000</v>
      </c>
      <c r="AK158" s="99">
        <v>4</v>
      </c>
      <c r="AL158" s="20">
        <f>AL159+AK158</f>
        <v>270</v>
      </c>
      <c r="AM158" s="117">
        <f t="shared" si="50"/>
        <v>27000000</v>
      </c>
      <c r="AN158" s="20"/>
    </row>
    <row r="159" spans="5:44">
      <c r="G159" s="99">
        <f>P52</f>
        <v>1212</v>
      </c>
      <c r="H159" s="99" t="s">
        <v>4233</v>
      </c>
      <c r="I159" s="99">
        <v>30054</v>
      </c>
      <c r="J159" s="1">
        <f>G159*I159</f>
        <v>36425448</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5324</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39685013</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813209211.60651064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82271387.815913856</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10893456</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12250013.3004</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-1356557.3003999991</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7709113.3004000001</v>
      </c>
      <c r="P170" s="114"/>
      <c r="Q170" s="36" t="s">
        <v>4548</v>
      </c>
      <c r="R170" s="95">
        <f>SUM(N44:N54)</f>
        <v>4789011828.8000002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2273786848.5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249098902.80000001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398</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5609</v>
      </c>
      <c r="I175" s="32">
        <f>O23+O28+O48+I144+O44</f>
        <v>121430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1670457.8407590762</v>
      </c>
      <c r="H176" s="298" t="s">
        <v>5610</v>
      </c>
      <c r="I176" s="32">
        <f>(J143+N52+N47+N31+N25+N21)/P48</f>
        <v>346798.96652352076</v>
      </c>
      <c r="K176" s="96"/>
      <c r="L176" s="96"/>
      <c r="O176" s="96"/>
      <c r="P176" s="117"/>
      <c r="Q176" s="99" t="s">
        <v>5633</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7:43">
      <c r="G177" s="32">
        <f>G175+G176</f>
        <v>6288291.8407590762</v>
      </c>
      <c r="H177" s="32" t="s">
        <v>5611</v>
      </c>
      <c r="I177" s="32">
        <f>I175+I176</f>
        <v>468228.96652352076</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(W156+W157+W158)/P52</f>
        <v>277334.81714590709</v>
      </c>
      <c r="H178" s="32" t="s">
        <v>5572</v>
      </c>
      <c r="I178" s="32">
        <f>(W156+W157+W158)/P48</f>
        <v>20650.472036225088</v>
      </c>
      <c r="K178" s="96"/>
      <c r="L178" s="96"/>
      <c r="P178" s="114"/>
      <c r="Q178" s="99" t="s">
        <v>5599</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7:43">
      <c r="G179" s="32">
        <f>W154/P52</f>
        <v>2547026.4522330947</v>
      </c>
      <c r="H179" s="32" t="s">
        <v>483</v>
      </c>
      <c r="I179" s="32">
        <f>W154/P48</f>
        <v>189652.70595539195</v>
      </c>
      <c r="J179" s="96"/>
      <c r="K179" s="96"/>
      <c r="L179" s="96"/>
      <c r="M179" t="s">
        <v>25</v>
      </c>
      <c r="P179" s="114"/>
      <c r="Q179" s="99" t="s">
        <v>5598</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7:43">
      <c r="G180" s="32">
        <f>G177-G178-G179</f>
        <v>3463930.5713800741</v>
      </c>
      <c r="H180" s="32" t="s">
        <v>5</v>
      </c>
      <c r="I180" s="32">
        <f>I177-I178-I179</f>
        <v>257925.78853190373</v>
      </c>
      <c r="P180" s="114"/>
      <c r="Q180" s="99" t="s">
        <v>5595</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7: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7:43">
      <c r="P183" s="114"/>
      <c r="Q183" s="99" t="s">
        <v>5567</v>
      </c>
      <c r="R183" s="95">
        <f>-4900*P52</f>
        <v>-5938800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5612</v>
      </c>
      <c r="I184" s="213" t="s">
        <v>5613</v>
      </c>
      <c r="J184" s="213" t="s">
        <v>5614</v>
      </c>
      <c r="K184" s="32" t="s">
        <v>5615</v>
      </c>
      <c r="L184" s="99" t="s">
        <v>5629</v>
      </c>
      <c r="M184" s="99" t="s">
        <v>5630</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7:43">
      <c r="G185" s="32" t="s">
        <v>5591</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7:43">
      <c r="G186" s="32" t="s">
        <v>5616</v>
      </c>
      <c r="H186" s="32">
        <v>3245022</v>
      </c>
      <c r="I186" s="213">
        <v>249261</v>
      </c>
      <c r="J186" s="213">
        <v>2532877</v>
      </c>
      <c r="K186" s="32">
        <v>195062</v>
      </c>
      <c r="L186" s="99">
        <f>H186+J186</f>
        <v>5777899</v>
      </c>
      <c r="M186" s="99">
        <f>I186+K186</f>
        <v>444323</v>
      </c>
      <c r="P186" s="114"/>
      <c r="Q186" s="99" t="s">
        <v>4444</v>
      </c>
      <c r="R186" s="95">
        <f>SUM(R170:R182)</f>
        <v>7305923943.1000004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7:43">
      <c r="G187" s="32" t="s">
        <v>5617</v>
      </c>
      <c r="H187" s="32"/>
      <c r="I187" s="213"/>
      <c r="J187" s="213"/>
      <c r="K187" s="32"/>
      <c r="L187" s="99">
        <f t="shared" ref="L187:L194" si="56">H187+J187</f>
        <v>0</v>
      </c>
      <c r="M187" s="99">
        <f t="shared" ref="M187:M194"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7:43">
      <c r="G188" s="32" t="s">
        <v>5618</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7:43">
      <c r="G189" s="32" t="s">
        <v>5649</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7:43">
      <c r="G190" s="32" t="s">
        <v>5651</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7:43">
      <c r="G191" s="32" t="s">
        <v>5654</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7:43">
      <c r="G192" s="32" t="s">
        <v>5663</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G198" s="99" t="s">
        <v>5596</v>
      </c>
      <c r="H198" s="99"/>
      <c r="I198" s="99"/>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5600</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5601</v>
      </c>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5659</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5602</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P207" s="114"/>
      <c r="Q207" s="189" t="s">
        <v>5182</v>
      </c>
      <c r="R207" s="189" t="s">
        <v>5181</v>
      </c>
      <c r="S207" s="188">
        <v>6000000</v>
      </c>
      <c r="T207" s="213" t="s">
        <v>4694</v>
      </c>
      <c r="U207" s="213">
        <v>49555</v>
      </c>
      <c r="V207" s="113">
        <v>238.345</v>
      </c>
      <c r="W207" s="113">
        <f t="shared" si="53"/>
        <v>11811186.475</v>
      </c>
      <c r="X207" s="99" t="s">
        <v>452</v>
      </c>
      <c r="AH207" s="99">
        <v>187</v>
      </c>
      <c r="AI207" s="113" t="s">
        <v>5241</v>
      </c>
      <c r="AJ207" s="113">
        <v>500000</v>
      </c>
      <c r="AK207" s="99">
        <v>23</v>
      </c>
      <c r="AL207" s="20">
        <f t="shared" si="60"/>
        <v>109</v>
      </c>
      <c r="AM207" s="117">
        <f t="shared" si="61"/>
        <v>54500000</v>
      </c>
      <c r="AN207" s="20"/>
      <c r="AR207" t="s">
        <v>25</v>
      </c>
    </row>
    <row r="208" spans="7:45">
      <c r="G208" s="213" t="s">
        <v>180</v>
      </c>
      <c r="H208" s="213" t="s">
        <v>5628</v>
      </c>
      <c r="I208" t="s">
        <v>5621</v>
      </c>
      <c r="Q208" s="189" t="s">
        <v>5184</v>
      </c>
      <c r="R208" s="189" t="s">
        <v>5183</v>
      </c>
      <c r="S208" s="188">
        <v>1500000</v>
      </c>
      <c r="T208" s="213" t="s">
        <v>4708</v>
      </c>
      <c r="U208" s="213">
        <v>160187</v>
      </c>
      <c r="V208" s="113">
        <v>257.49799999999999</v>
      </c>
      <c r="W208" s="113">
        <f t="shared" si="53"/>
        <v>41247832.126000002</v>
      </c>
      <c r="X208" s="99" t="s">
        <v>749</v>
      </c>
      <c r="AH208" s="99">
        <v>188</v>
      </c>
      <c r="AI208" s="113" t="s">
        <v>5265</v>
      </c>
      <c r="AJ208" s="113">
        <v>101268</v>
      </c>
      <c r="AK208" s="99">
        <v>1</v>
      </c>
      <c r="AL208" s="20">
        <f t="shared" si="60"/>
        <v>86</v>
      </c>
      <c r="AM208" s="117">
        <f t="shared" si="61"/>
        <v>8709048</v>
      </c>
      <c r="AN208" s="20"/>
      <c r="AR208" t="s">
        <v>25</v>
      </c>
    </row>
    <row r="209" spans="7:46">
      <c r="G209" s="213" t="s">
        <v>5577</v>
      </c>
      <c r="H209" s="1">
        <v>30000000</v>
      </c>
      <c r="I209" t="s">
        <v>5622</v>
      </c>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5268</v>
      </c>
      <c r="AJ209" s="113">
        <v>101000</v>
      </c>
      <c r="AK209" s="99">
        <v>34</v>
      </c>
      <c r="AL209" s="20">
        <f t="shared" si="60"/>
        <v>85</v>
      </c>
      <c r="AM209" s="117">
        <f t="shared" si="61"/>
        <v>8585000</v>
      </c>
      <c r="AN209" s="20"/>
      <c r="AP209" t="s">
        <v>25</v>
      </c>
      <c r="AT209" s="96" t="s">
        <v>25</v>
      </c>
    </row>
    <row r="210" spans="7:46">
      <c r="G210" s="213" t="s">
        <v>5578</v>
      </c>
      <c r="H210" s="1">
        <v>550000</v>
      </c>
      <c r="I210" t="s">
        <v>5623</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5293</v>
      </c>
      <c r="AJ210" s="113">
        <v>-488602</v>
      </c>
      <c r="AK210" s="99">
        <v>5</v>
      </c>
      <c r="AL210" s="20">
        <f t="shared" si="60"/>
        <v>51</v>
      </c>
      <c r="AM210" s="117">
        <f t="shared" si="61"/>
        <v>-24918702</v>
      </c>
      <c r="AN210" s="20"/>
      <c r="AR210" t="s">
        <v>25</v>
      </c>
    </row>
    <row r="211" spans="7:46">
      <c r="G211" s="213" t="s">
        <v>5579</v>
      </c>
      <c r="H211" s="1">
        <v>70370000</v>
      </c>
      <c r="I211" t="s">
        <v>4097</v>
      </c>
      <c r="Q211" s="19" t="s">
        <v>5010</v>
      </c>
      <c r="R211" s="19" t="s">
        <v>5226</v>
      </c>
      <c r="S211" s="117">
        <v>-122000</v>
      </c>
      <c r="T211" s="213" t="s">
        <v>4715</v>
      </c>
      <c r="U211" s="213">
        <v>144401</v>
      </c>
      <c r="V211" s="113">
        <v>258.5061</v>
      </c>
      <c r="W211" s="113">
        <f t="shared" si="53"/>
        <v>37328539.346100003</v>
      </c>
      <c r="X211" s="99" t="s">
        <v>452</v>
      </c>
      <c r="AH211" s="99">
        <v>191</v>
      </c>
      <c r="AI211" s="113" t="s">
        <v>5307</v>
      </c>
      <c r="AJ211" s="113">
        <v>360000</v>
      </c>
      <c r="AK211" s="99">
        <v>10</v>
      </c>
      <c r="AL211" s="20">
        <f t="shared" si="60"/>
        <v>46</v>
      </c>
      <c r="AM211" s="117">
        <f t="shared" si="61"/>
        <v>16560000</v>
      </c>
      <c r="AN211" s="20"/>
      <c r="AR211" t="s">
        <v>25</v>
      </c>
    </row>
    <row r="212" spans="7:46">
      <c r="G212" s="213" t="s">
        <v>5583</v>
      </c>
      <c r="H212" s="1">
        <v>1215000</v>
      </c>
      <c r="I212" t="s">
        <v>5624</v>
      </c>
      <c r="P212" s="114"/>
      <c r="Q212" s="19" t="s">
        <v>5010</v>
      </c>
      <c r="R212" s="19" t="s">
        <v>5234</v>
      </c>
      <c r="S212" s="117">
        <v>-700000</v>
      </c>
      <c r="T212" s="168" t="s">
        <v>4721</v>
      </c>
      <c r="U212" s="168">
        <v>196500</v>
      </c>
      <c r="V212" s="113">
        <v>254.452</v>
      </c>
      <c r="W212" s="113">
        <f t="shared" si="53"/>
        <v>49999818</v>
      </c>
      <c r="X212" s="99" t="s">
        <v>4725</v>
      </c>
      <c r="AH212" s="99">
        <v>192</v>
      </c>
      <c r="AI212" s="113" t="s">
        <v>5319</v>
      </c>
      <c r="AJ212" s="113">
        <v>-3600000</v>
      </c>
      <c r="AK212" s="99">
        <v>4</v>
      </c>
      <c r="AL212" s="20">
        <f t="shared" si="60"/>
        <v>36</v>
      </c>
      <c r="AM212" s="117">
        <f t="shared" si="61"/>
        <v>-129600000</v>
      </c>
      <c r="AN212" s="20"/>
      <c r="AS212" t="s">
        <v>25</v>
      </c>
    </row>
    <row r="213" spans="7:46">
      <c r="G213" s="213" t="s">
        <v>5584</v>
      </c>
      <c r="H213" s="1">
        <v>15350000</v>
      </c>
      <c r="I213" t="s">
        <v>5625</v>
      </c>
      <c r="P213" s="114"/>
      <c r="Q213" s="19" t="s">
        <v>5010</v>
      </c>
      <c r="R213" s="19" t="s">
        <v>5245</v>
      </c>
      <c r="S213" s="117">
        <v>-60000</v>
      </c>
      <c r="T213" s="213" t="s">
        <v>4721</v>
      </c>
      <c r="U213" s="213">
        <v>2561</v>
      </c>
      <c r="V213" s="113">
        <v>254.536</v>
      </c>
      <c r="W213" s="113">
        <f t="shared" si="53"/>
        <v>651866.696</v>
      </c>
      <c r="X213" s="99" t="s">
        <v>4726</v>
      </c>
      <c r="AH213" s="99">
        <v>193</v>
      </c>
      <c r="AI213" s="113" t="s">
        <v>5329</v>
      </c>
      <c r="AJ213" s="113">
        <v>-1000000</v>
      </c>
      <c r="AK213" s="99">
        <v>5</v>
      </c>
      <c r="AL213" s="20">
        <f t="shared" si="60"/>
        <v>32</v>
      </c>
      <c r="AM213" s="117">
        <f t="shared" si="61"/>
        <v>-32000000</v>
      </c>
      <c r="AN213" s="20"/>
      <c r="AR213" t="s">
        <v>25</v>
      </c>
    </row>
    <row r="214" spans="7:46">
      <c r="G214" s="213" t="s">
        <v>5586</v>
      </c>
      <c r="H214" s="1">
        <v>70000</v>
      </c>
      <c r="I214" t="s">
        <v>5626</v>
      </c>
      <c r="Q214" s="19" t="s">
        <v>4434</v>
      </c>
      <c r="R214" s="19" t="s">
        <v>5307</v>
      </c>
      <c r="S214" s="117">
        <v>700000</v>
      </c>
      <c r="T214" s="213" t="s">
        <v>4769</v>
      </c>
      <c r="U214" s="213">
        <v>-11795</v>
      </c>
      <c r="V214" s="113">
        <v>254.334</v>
      </c>
      <c r="W214" s="113">
        <f t="shared" si="53"/>
        <v>-2999869.5300000003</v>
      </c>
      <c r="X214" s="99" t="s">
        <v>4770</v>
      </c>
      <c r="AH214" s="99">
        <v>194</v>
      </c>
      <c r="AI214" s="113" t="s">
        <v>5335</v>
      </c>
      <c r="AJ214" s="113">
        <v>360000</v>
      </c>
      <c r="AK214" s="99">
        <v>2</v>
      </c>
      <c r="AL214" s="20">
        <f>AL215+AK214</f>
        <v>27</v>
      </c>
      <c r="AM214" s="117">
        <f t="shared" ref="AM214:AM219" si="62">AJ214*AL214</f>
        <v>9720000</v>
      </c>
      <c r="AN214" s="20"/>
      <c r="AQ214" t="s">
        <v>25</v>
      </c>
    </row>
    <row r="215" spans="7:46">
      <c r="G215" s="213" t="s">
        <v>5591</v>
      </c>
      <c r="H215" s="1">
        <v>800000</v>
      </c>
      <c r="I215" t="s">
        <v>5627</v>
      </c>
      <c r="P215" s="114"/>
      <c r="Q215" s="189" t="s">
        <v>5317</v>
      </c>
      <c r="R215" s="189" t="s">
        <v>5316</v>
      </c>
      <c r="S215" s="188">
        <v>-2000000</v>
      </c>
      <c r="T215" s="213" t="s">
        <v>4769</v>
      </c>
      <c r="U215" s="213">
        <v>11795</v>
      </c>
      <c r="V215" s="113">
        <v>254.334</v>
      </c>
      <c r="W215" s="113">
        <f t="shared" si="53"/>
        <v>2999869.5300000003</v>
      </c>
      <c r="X215" s="99" t="s">
        <v>4771</v>
      </c>
      <c r="AH215" s="99">
        <v>195</v>
      </c>
      <c r="AI215" s="113" t="s">
        <v>5340</v>
      </c>
      <c r="AJ215" s="113">
        <v>2000000</v>
      </c>
      <c r="AK215" s="99">
        <v>1</v>
      </c>
      <c r="AL215" s="20">
        <f>AL216+AK215</f>
        <v>25</v>
      </c>
      <c r="AM215" s="117">
        <f t="shared" si="62"/>
        <v>50000000</v>
      </c>
      <c r="AN215" s="20"/>
    </row>
    <row r="216" spans="7:46">
      <c r="G216" s="213" t="s">
        <v>5616</v>
      </c>
      <c r="H216" s="1">
        <v>1948000</v>
      </c>
      <c r="Q216" s="189" t="s">
        <v>5325</v>
      </c>
      <c r="R216" s="189" t="s">
        <v>5319</v>
      </c>
      <c r="S216" s="188">
        <v>2000000</v>
      </c>
      <c r="T216" s="213" t="s">
        <v>4783</v>
      </c>
      <c r="U216" s="213">
        <v>260</v>
      </c>
      <c r="V216" s="113">
        <v>263.19</v>
      </c>
      <c r="W216" s="113">
        <f t="shared" si="53"/>
        <v>68429.399999999994</v>
      </c>
      <c r="X216" s="99" t="s">
        <v>452</v>
      </c>
      <c r="AH216" s="99">
        <v>196</v>
      </c>
      <c r="AI216" s="113" t="s">
        <v>5343</v>
      </c>
      <c r="AJ216" s="113">
        <v>20000000</v>
      </c>
      <c r="AK216" s="99">
        <v>0</v>
      </c>
      <c r="AL216" s="20">
        <f>AL217+AK216</f>
        <v>24</v>
      </c>
      <c r="AM216" s="117">
        <f t="shared" si="62"/>
        <v>480000000</v>
      </c>
      <c r="AN216" s="20" t="s">
        <v>4723</v>
      </c>
      <c r="AR216" t="s">
        <v>25</v>
      </c>
    </row>
    <row r="217" spans="7:46">
      <c r="G217" s="213" t="s">
        <v>5660</v>
      </c>
      <c r="H217" s="1">
        <v>5745697.3157000002</v>
      </c>
      <c r="P217" t="s">
        <v>25</v>
      </c>
      <c r="Q217" s="189" t="s">
        <v>1083</v>
      </c>
      <c r="R217" s="189" t="s">
        <v>5332</v>
      </c>
      <c r="S217" s="188">
        <v>40000000</v>
      </c>
      <c r="T217" s="213" t="s">
        <v>4792</v>
      </c>
      <c r="U217" s="213">
        <v>15257</v>
      </c>
      <c r="V217" s="113">
        <v>262.19018</v>
      </c>
      <c r="W217" s="113">
        <f t="shared" si="53"/>
        <v>4000235.57626</v>
      </c>
      <c r="X217" s="99" t="s">
        <v>452</v>
      </c>
      <c r="AH217" s="99">
        <v>197</v>
      </c>
      <c r="AI217" s="113" t="s">
        <v>5343</v>
      </c>
      <c r="AJ217" s="113">
        <v>-4700000</v>
      </c>
      <c r="AK217" s="99">
        <v>1</v>
      </c>
      <c r="AL217" s="20">
        <f>AL218+AK217</f>
        <v>24</v>
      </c>
      <c r="AM217" s="117">
        <f t="shared" si="62"/>
        <v>-112800000</v>
      </c>
      <c r="AN217" s="20"/>
    </row>
    <row r="218" spans="7:46">
      <c r="G218" s="213" t="s">
        <v>5661</v>
      </c>
      <c r="H218" s="1">
        <v>908158.17935999995</v>
      </c>
      <c r="Q218" s="19" t="s">
        <v>4434</v>
      </c>
      <c r="R218" s="19" t="s">
        <v>5337</v>
      </c>
      <c r="S218" s="117">
        <v>-800000</v>
      </c>
      <c r="T218" s="213" t="s">
        <v>4792</v>
      </c>
      <c r="U218" s="213">
        <v>8444</v>
      </c>
      <c r="V218" s="113">
        <v>266.43029999999999</v>
      </c>
      <c r="W218" s="113">
        <f t="shared" si="53"/>
        <v>2249737.4531999999</v>
      </c>
      <c r="X218" s="99" t="s">
        <v>452</v>
      </c>
      <c r="AH218" s="99">
        <v>198</v>
      </c>
      <c r="AI218" s="113" t="s">
        <v>5347</v>
      </c>
      <c r="AJ218" s="113">
        <v>3000000</v>
      </c>
      <c r="AK218" s="99">
        <v>4</v>
      </c>
      <c r="AL218" s="20">
        <f>AL219+AK218</f>
        <v>23</v>
      </c>
      <c r="AM218" s="117">
        <f t="shared" si="62"/>
        <v>69000000</v>
      </c>
      <c r="AN218" s="20"/>
      <c r="AS218" t="s">
        <v>25</v>
      </c>
    </row>
    <row r="219" spans="7:46">
      <c r="G219" s="213" t="s">
        <v>5663</v>
      </c>
      <c r="H219" s="1">
        <v>12642697.648548001</v>
      </c>
      <c r="P219" s="114"/>
      <c r="Q219" s="213" t="s">
        <v>4434</v>
      </c>
      <c r="R219" s="213" t="s">
        <v>5428</v>
      </c>
      <c r="S219" s="117">
        <v>700000</v>
      </c>
      <c r="T219" s="213" t="s">
        <v>4797</v>
      </c>
      <c r="U219" s="213">
        <v>-6209</v>
      </c>
      <c r="V219" s="113">
        <v>273.79649999999998</v>
      </c>
      <c r="W219" s="113">
        <f t="shared" si="53"/>
        <v>-1700002.4685</v>
      </c>
      <c r="X219" s="99" t="s">
        <v>4808</v>
      </c>
      <c r="AH219" s="99">
        <v>199</v>
      </c>
      <c r="AI219" s="113" t="s">
        <v>5350</v>
      </c>
      <c r="AJ219" s="113">
        <v>1500000</v>
      </c>
      <c r="AK219" s="99">
        <v>1</v>
      </c>
      <c r="AL219" s="20">
        <f>AL226+AK219</f>
        <v>19</v>
      </c>
      <c r="AM219" s="117">
        <f t="shared" si="62"/>
        <v>28500000</v>
      </c>
      <c r="AN219" s="20"/>
    </row>
    <row r="220" spans="7:46">
      <c r="G220" s="213" t="s">
        <v>5665</v>
      </c>
      <c r="H220" s="1">
        <v>12297318</v>
      </c>
      <c r="P220" s="114"/>
      <c r="Q220" s="189" t="s">
        <v>5449</v>
      </c>
      <c r="R220" s="189" t="s">
        <v>5447</v>
      </c>
      <c r="S220" s="188">
        <v>-26000000</v>
      </c>
      <c r="T220" s="213" t="s">
        <v>4797</v>
      </c>
      <c r="U220" s="213">
        <v>-8014</v>
      </c>
      <c r="V220" s="113">
        <v>273.79649999999998</v>
      </c>
      <c r="W220" s="113">
        <f t="shared" si="53"/>
        <v>-2194205.1510000001</v>
      </c>
      <c r="X220" s="99" t="s">
        <v>749</v>
      </c>
      <c r="AH220" s="99">
        <v>200</v>
      </c>
      <c r="AI220" s="113" t="s">
        <v>5353</v>
      </c>
      <c r="AJ220" s="113">
        <v>30000000</v>
      </c>
      <c r="AK220" s="99">
        <v>33</v>
      </c>
      <c r="AL220" s="20">
        <f t="shared" ref="AL220:AL229" si="63">AL235+AK220</f>
        <v>33</v>
      </c>
      <c r="AM220" s="117">
        <f t="shared" ref="AM220:AM225" si="64">AJ220*AL220</f>
        <v>990000000</v>
      </c>
      <c r="AN220" s="20"/>
    </row>
    <row r="221" spans="7:46">
      <c r="G221" s="213" t="s">
        <v>5666</v>
      </c>
      <c r="H221" s="1">
        <v>8959644</v>
      </c>
      <c r="P221" s="114"/>
      <c r="Q221" s="189" t="s">
        <v>5449</v>
      </c>
      <c r="R221" s="189" t="s">
        <v>5453</v>
      </c>
      <c r="S221" s="188">
        <v>-95900000</v>
      </c>
      <c r="T221" s="213" t="s">
        <v>4806</v>
      </c>
      <c r="U221" s="213">
        <v>-9176</v>
      </c>
      <c r="V221" s="113">
        <v>273.79649999999998</v>
      </c>
      <c r="W221" s="113">
        <f t="shared" si="53"/>
        <v>-2512356.6839999999</v>
      </c>
      <c r="X221" s="99" t="s">
        <v>452</v>
      </c>
      <c r="AH221" s="99">
        <v>201</v>
      </c>
      <c r="AI221" s="113" t="s">
        <v>5432</v>
      </c>
      <c r="AJ221" s="113">
        <v>3000000</v>
      </c>
      <c r="AK221" s="99">
        <v>1</v>
      </c>
      <c r="AL221" s="20">
        <f t="shared" si="63"/>
        <v>1</v>
      </c>
      <c r="AM221" s="117">
        <f t="shared" si="64"/>
        <v>3000000</v>
      </c>
      <c r="AN221" s="20"/>
    </row>
    <row r="222" spans="7:46">
      <c r="G222" s="213" t="s">
        <v>5669</v>
      </c>
      <c r="H222" s="113">
        <v>15154095.839328</v>
      </c>
      <c r="P222" s="114"/>
      <c r="Q222" s="189" t="s">
        <v>5449</v>
      </c>
      <c r="R222" s="189" t="s">
        <v>5454</v>
      </c>
      <c r="S222" s="188">
        <v>-28950000</v>
      </c>
      <c r="T222" s="213" t="s">
        <v>4806</v>
      </c>
      <c r="U222" s="213">
        <v>1087</v>
      </c>
      <c r="V222" s="113">
        <v>273.79649999999998</v>
      </c>
      <c r="W222" s="113">
        <f t="shared" si="53"/>
        <v>297616.79550000001</v>
      </c>
      <c r="X222" s="99" t="s">
        <v>452</v>
      </c>
      <c r="AH222" s="99">
        <v>202</v>
      </c>
      <c r="AI222" s="113" t="s">
        <v>5433</v>
      </c>
      <c r="AJ222" s="113">
        <v>7000000</v>
      </c>
      <c r="AK222" s="99">
        <v>4</v>
      </c>
      <c r="AL222" s="20">
        <f t="shared" si="63"/>
        <v>4</v>
      </c>
      <c r="AM222" s="117">
        <f t="shared" si="64"/>
        <v>28000000</v>
      </c>
      <c r="AN222" s="20"/>
    </row>
    <row r="223" spans="7:46">
      <c r="G223" s="213"/>
      <c r="H223" s="1"/>
      <c r="P223" s="114"/>
      <c r="Q223" s="172" t="s">
        <v>5465</v>
      </c>
      <c r="R223" s="172" t="s">
        <v>5463</v>
      </c>
      <c r="S223" s="170">
        <v>2000000</v>
      </c>
      <c r="T223" s="213" t="s">
        <v>978</v>
      </c>
      <c r="U223" s="213">
        <v>-4017</v>
      </c>
      <c r="V223" s="113">
        <v>273.79649999999998</v>
      </c>
      <c r="W223" s="113">
        <f t="shared" si="53"/>
        <v>-1099840.5404999999</v>
      </c>
      <c r="X223" s="99" t="s">
        <v>4434</v>
      </c>
      <c r="AH223" s="99">
        <v>203</v>
      </c>
      <c r="AI223" s="113" t="s">
        <v>5446</v>
      </c>
      <c r="AJ223" s="113">
        <v>8800000</v>
      </c>
      <c r="AK223" s="99">
        <v>2</v>
      </c>
      <c r="AL223" s="20">
        <f t="shared" si="63"/>
        <v>2</v>
      </c>
      <c r="AM223" s="117">
        <f t="shared" si="64"/>
        <v>17600000</v>
      </c>
      <c r="AN223" s="20"/>
    </row>
    <row r="224" spans="7:46">
      <c r="G224" s="213"/>
      <c r="H224" s="1"/>
      <c r="P224" s="114"/>
      <c r="Q224" s="213" t="s">
        <v>5471</v>
      </c>
      <c r="R224" s="213" t="s">
        <v>5469</v>
      </c>
      <c r="S224" s="113">
        <v>1896188</v>
      </c>
      <c r="T224" s="213" t="s">
        <v>978</v>
      </c>
      <c r="U224" s="213">
        <v>4017</v>
      </c>
      <c r="V224" s="113">
        <v>273.79649999999998</v>
      </c>
      <c r="W224" s="113">
        <f t="shared" si="53"/>
        <v>1099840.5404999999</v>
      </c>
      <c r="X224" s="99" t="s">
        <v>452</v>
      </c>
      <c r="Z224" t="s">
        <v>25</v>
      </c>
      <c r="AH224" s="99">
        <v>204</v>
      </c>
      <c r="AI224" s="113" t="s">
        <v>5453</v>
      </c>
      <c r="AJ224" s="113">
        <v>40000000</v>
      </c>
      <c r="AK224" s="99">
        <v>8</v>
      </c>
      <c r="AL224" s="20">
        <f t="shared" si="63"/>
        <v>8</v>
      </c>
      <c r="AM224" s="117">
        <f t="shared" si="64"/>
        <v>320000000</v>
      </c>
      <c r="AN224" s="20" t="s">
        <v>4723</v>
      </c>
    </row>
    <row r="225" spans="4:45">
      <c r="G225" s="213"/>
      <c r="H225" s="1"/>
      <c r="I225" t="s">
        <v>25</v>
      </c>
      <c r="P225" s="114"/>
      <c r="Q225" s="189" t="s">
        <v>5562</v>
      </c>
      <c r="R225" s="189" t="s">
        <v>5559</v>
      </c>
      <c r="S225" s="188">
        <v>0</v>
      </c>
      <c r="T225" s="213" t="s">
        <v>4813</v>
      </c>
      <c r="U225" s="213">
        <v>3137</v>
      </c>
      <c r="V225" s="113">
        <v>283.69110000000001</v>
      </c>
      <c r="W225" s="113">
        <f t="shared" si="53"/>
        <v>889938.98070000007</v>
      </c>
      <c r="X225" s="99" t="s">
        <v>452</v>
      </c>
      <c r="AH225" s="99">
        <v>205</v>
      </c>
      <c r="AI225" s="113" t="s">
        <v>5469</v>
      </c>
      <c r="AJ225" s="113">
        <v>400000</v>
      </c>
      <c r="AK225" s="99">
        <v>17</v>
      </c>
      <c r="AL225" s="20">
        <f t="shared" si="63"/>
        <v>17</v>
      </c>
      <c r="AM225" s="117">
        <f t="shared" si="64"/>
        <v>6800000</v>
      </c>
      <c r="AN225" s="20"/>
      <c r="AR225" t="s">
        <v>25</v>
      </c>
    </row>
    <row r="226" spans="4:45">
      <c r="G226" s="213" t="s">
        <v>6</v>
      </c>
      <c r="H226" s="1">
        <f>SUM(H209:H225)</f>
        <v>176010610.98293599</v>
      </c>
      <c r="J226" t="s">
        <v>25</v>
      </c>
      <c r="P226" s="114"/>
      <c r="Q226" s="213"/>
      <c r="R226" s="213"/>
      <c r="S226" s="113"/>
      <c r="T226" s="213" t="s">
        <v>4826</v>
      </c>
      <c r="U226" s="213">
        <v>101933</v>
      </c>
      <c r="V226" s="113">
        <v>294.30973999999998</v>
      </c>
      <c r="W226" s="113">
        <f t="shared" si="53"/>
        <v>29999874.727419998</v>
      </c>
      <c r="X226" s="99" t="s">
        <v>1083</v>
      </c>
      <c r="Y226" t="s">
        <v>25</v>
      </c>
      <c r="AH226" s="99">
        <v>206</v>
      </c>
      <c r="AI226" s="113" t="s">
        <v>5492</v>
      </c>
      <c r="AJ226" s="113">
        <v>-20000000</v>
      </c>
      <c r="AK226" s="99">
        <v>18</v>
      </c>
      <c r="AL226" s="20">
        <f t="shared" si="63"/>
        <v>18</v>
      </c>
      <c r="AM226" s="117">
        <f t="shared" ref="AM226:AM229" si="65">AJ226*AL226</f>
        <v>-360000000</v>
      </c>
      <c r="AN226" s="20" t="s">
        <v>5035</v>
      </c>
    </row>
    <row r="227" spans="4:45">
      <c r="D227" s="96"/>
      <c r="E227" s="96"/>
      <c r="F227" s="96"/>
      <c r="G227" s="332">
        <v>0.15</v>
      </c>
      <c r="H227" s="1">
        <f>H226*0.15</f>
        <v>26401591.6474404</v>
      </c>
      <c r="K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5518</v>
      </c>
      <c r="AJ227" s="113">
        <v>3006000</v>
      </c>
      <c r="AK227" s="99">
        <v>19</v>
      </c>
      <c r="AL227" s="20">
        <f t="shared" si="63"/>
        <v>19</v>
      </c>
      <c r="AM227" s="117">
        <f t="shared" si="65"/>
        <v>57114000</v>
      </c>
      <c r="AN227" s="20"/>
    </row>
    <row r="228" spans="4:45">
      <c r="D228" s="96"/>
      <c r="E228" s="96"/>
      <c r="F228" s="96"/>
      <c r="Q228" s="41"/>
      <c r="R228" s="213"/>
      <c r="S228" s="213" t="s">
        <v>6</v>
      </c>
      <c r="T228" s="213" t="s">
        <v>4834</v>
      </c>
      <c r="U228" s="213">
        <v>68796</v>
      </c>
      <c r="V228" s="113">
        <v>293.53250000000003</v>
      </c>
      <c r="W228" s="113">
        <f t="shared" si="53"/>
        <v>20193861.870000001</v>
      </c>
      <c r="X228" s="99" t="s">
        <v>749</v>
      </c>
      <c r="Y228" s="96"/>
      <c r="AH228" s="99">
        <v>208</v>
      </c>
      <c r="AI228" s="113" t="s">
        <v>5394</v>
      </c>
      <c r="AJ228" s="113">
        <v>-130382924</v>
      </c>
      <c r="AK228" s="99">
        <v>0</v>
      </c>
      <c r="AL228" s="20">
        <f t="shared" si="63"/>
        <v>0</v>
      </c>
      <c r="AM228" s="117">
        <f t="shared" si="65"/>
        <v>0</v>
      </c>
      <c r="AN228" s="20" t="s">
        <v>5553</v>
      </c>
      <c r="AR228" t="s">
        <v>25</v>
      </c>
    </row>
    <row r="229" spans="4:45">
      <c r="D229" s="96"/>
      <c r="E229" s="96"/>
      <c r="F229" s="96"/>
      <c r="Q229" s="96"/>
      <c r="T229" s="213" t="s">
        <v>4834</v>
      </c>
      <c r="U229" s="213">
        <v>154791</v>
      </c>
      <c r="V229" s="113">
        <v>293.53250000000003</v>
      </c>
      <c r="W229" s="113">
        <f t="shared" si="53"/>
        <v>45436189.207500003</v>
      </c>
      <c r="X229" s="99" t="s">
        <v>452</v>
      </c>
      <c r="Y229" t="s">
        <v>25</v>
      </c>
      <c r="AH229" s="99">
        <v>209</v>
      </c>
      <c r="AI229" s="113" t="s">
        <v>5394</v>
      </c>
      <c r="AJ229" s="113">
        <v>125000000</v>
      </c>
      <c r="AK229" s="99">
        <v>1</v>
      </c>
      <c r="AL229" s="20">
        <f t="shared" si="63"/>
        <v>1</v>
      </c>
      <c r="AM229" s="117">
        <f t="shared" si="65"/>
        <v>125000000</v>
      </c>
      <c r="AN229" s="20"/>
      <c r="AR229" t="s">
        <v>25</v>
      </c>
    </row>
    <row r="230" spans="4:45">
      <c r="D230" s="96"/>
      <c r="E230" s="96"/>
      <c r="F230" s="96"/>
      <c r="G230" s="96"/>
      <c r="H230" s="96"/>
      <c r="I230" s="96"/>
      <c r="J230" t="s">
        <v>25</v>
      </c>
      <c r="P230" s="114" t="s">
        <v>25</v>
      </c>
      <c r="Q230" s="96" t="s">
        <v>25</v>
      </c>
      <c r="R230" s="96" t="s">
        <v>25</v>
      </c>
      <c r="T230" s="213" t="s">
        <v>4834</v>
      </c>
      <c r="U230" s="213">
        <v>-11923</v>
      </c>
      <c r="V230" s="113">
        <v>293.53250000000003</v>
      </c>
      <c r="W230" s="113">
        <f t="shared" si="53"/>
        <v>-3499787.9975000005</v>
      </c>
      <c r="X230" s="99" t="s">
        <v>452</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96"/>
      <c r="H231" s="96"/>
      <c r="I231" s="96"/>
      <c r="P231" s="114"/>
      <c r="Q231" s="96"/>
      <c r="R231" s="96" t="s">
        <v>25</v>
      </c>
      <c r="S231" t="s">
        <v>25</v>
      </c>
      <c r="T231" s="213" t="s">
        <v>4847</v>
      </c>
      <c r="U231" s="213">
        <v>8424</v>
      </c>
      <c r="V231" s="113">
        <v>299.15170000000001</v>
      </c>
      <c r="W231" s="113">
        <f t="shared" si="53"/>
        <v>2520053.9208</v>
      </c>
      <c r="X231" s="99" t="s">
        <v>452</v>
      </c>
      <c r="AH231" s="99">
        <v>211</v>
      </c>
      <c r="AI231" s="113" t="s">
        <v>5586</v>
      </c>
      <c r="AJ231" s="113">
        <v>2050000</v>
      </c>
      <c r="AK231" s="99">
        <v>7</v>
      </c>
      <c r="AL231" s="20">
        <f t="shared" si="66"/>
        <v>7</v>
      </c>
      <c r="AM231" s="117">
        <f t="shared" si="67"/>
        <v>14350000</v>
      </c>
      <c r="AN231" s="20"/>
      <c r="AR231" t="s">
        <v>25</v>
      </c>
      <c r="AS231" t="s">
        <v>25</v>
      </c>
    </row>
    <row r="232" spans="4:45">
      <c r="D232" s="96"/>
      <c r="E232" s="96"/>
      <c r="F232" s="96"/>
      <c r="G232" s="96"/>
      <c r="H232" s="96"/>
      <c r="I232" s="96"/>
      <c r="S232" t="s">
        <v>25</v>
      </c>
      <c r="T232" s="213" t="s">
        <v>4882</v>
      </c>
      <c r="U232" s="213">
        <v>15943</v>
      </c>
      <c r="V232" s="113">
        <v>307.34415000000001</v>
      </c>
      <c r="W232" s="113">
        <f t="shared" si="53"/>
        <v>4899987.78345</v>
      </c>
      <c r="X232" s="99" t="s">
        <v>452</v>
      </c>
      <c r="AH232" s="99">
        <v>212</v>
      </c>
      <c r="AI232" s="113" t="s">
        <v>5617</v>
      </c>
      <c r="AJ232" s="113">
        <v>50000000</v>
      </c>
      <c r="AK232" s="99">
        <v>1</v>
      </c>
      <c r="AL232" s="20">
        <f t="shared" si="66"/>
        <v>1</v>
      </c>
      <c r="AM232" s="117">
        <f t="shared" si="67"/>
        <v>50000000</v>
      </c>
      <c r="AN232" s="20" t="s">
        <v>4723</v>
      </c>
    </row>
    <row r="233" spans="4:45">
      <c r="D233" s="96"/>
      <c r="E233" s="96"/>
      <c r="F233" s="96"/>
      <c r="G233" s="96"/>
      <c r="H233" s="96"/>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15:43">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15:43">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15:43">
      <c r="Q243" s="99" t="s">
        <v>4638</v>
      </c>
      <c r="R243" s="95">
        <v>6550580</v>
      </c>
      <c r="T243" s="213" t="s">
        <v>4969</v>
      </c>
      <c r="U243" s="213">
        <v>20153</v>
      </c>
      <c r="V243" s="113">
        <v>322</v>
      </c>
      <c r="W243" s="113">
        <f t="shared" si="53"/>
        <v>6489266</v>
      </c>
      <c r="X243" s="99" t="s">
        <v>452</v>
      </c>
      <c r="AI243" t="s">
        <v>4060</v>
      </c>
      <c r="AJ243" s="114">
        <f>SUM(N42:N54)</f>
        <v>4789012226.8000002</v>
      </c>
      <c r="AM243" t="s">
        <v>25</v>
      </c>
    </row>
    <row r="244" spans="15:43">
      <c r="Q244" s="99" t="s">
        <v>4640</v>
      </c>
      <c r="R244" s="95">
        <v>6650895</v>
      </c>
      <c r="T244" s="213" t="s">
        <v>4979</v>
      </c>
      <c r="U244" s="213">
        <v>93720</v>
      </c>
      <c r="V244" s="113">
        <v>325.435</v>
      </c>
      <c r="W244" s="113">
        <f t="shared" si="53"/>
        <v>30499768.199999999</v>
      </c>
      <c r="X244" s="99" t="s">
        <v>1083</v>
      </c>
      <c r="AI244" t="s">
        <v>4132</v>
      </c>
      <c r="AJ244" s="114">
        <f>AJ243-AJ237</f>
        <v>4154475425.8000002</v>
      </c>
      <c r="AM244" t="s">
        <v>25</v>
      </c>
    </row>
    <row r="245" spans="15: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15:43">
      <c r="Q246" s="99" t="s">
        <v>4668</v>
      </c>
      <c r="R246" s="95">
        <v>4369730</v>
      </c>
      <c r="T246" s="213" t="s">
        <v>4988</v>
      </c>
      <c r="U246" s="213">
        <v>2611</v>
      </c>
      <c r="V246" s="113">
        <v>325.435</v>
      </c>
      <c r="W246" s="113">
        <f t="shared" si="53"/>
        <v>849710.78500000003</v>
      </c>
      <c r="X246" s="99" t="s">
        <v>749</v>
      </c>
      <c r="AI246" t="s">
        <v>4061</v>
      </c>
      <c r="AJ246" s="114">
        <f>AJ243-AJ242</f>
        <v>4029254883.1822457</v>
      </c>
      <c r="AN246" t="s">
        <v>25</v>
      </c>
    </row>
    <row r="247" spans="15:43">
      <c r="Q247" s="99" t="s">
        <v>4670</v>
      </c>
      <c r="R247" s="95">
        <v>8739459</v>
      </c>
      <c r="S247" t="s">
        <v>25</v>
      </c>
      <c r="T247" s="213" t="s">
        <v>4997</v>
      </c>
      <c r="U247" s="213">
        <v>6750</v>
      </c>
      <c r="V247" s="113">
        <v>339.3</v>
      </c>
      <c r="W247" s="113">
        <f t="shared" si="53"/>
        <v>2290275</v>
      </c>
      <c r="X247" s="99" t="s">
        <v>749</v>
      </c>
      <c r="AM247" t="s">
        <v>25</v>
      </c>
    </row>
    <row r="248" spans="15:43">
      <c r="P248" t="s">
        <v>25</v>
      </c>
      <c r="Q248" s="99" t="s">
        <v>4679</v>
      </c>
      <c r="R248" s="95">
        <v>6667654</v>
      </c>
      <c r="T248" s="213" t="s">
        <v>5005</v>
      </c>
      <c r="U248" s="213">
        <v>1850</v>
      </c>
      <c r="V248" s="113">
        <v>334.10050000000001</v>
      </c>
      <c r="W248" s="113">
        <f t="shared" si="53"/>
        <v>618085.92500000005</v>
      </c>
      <c r="X248" s="99" t="s">
        <v>452</v>
      </c>
      <c r="AJ248" t="s">
        <v>25</v>
      </c>
    </row>
    <row r="249" spans="15:43">
      <c r="Q249" s="99" t="s">
        <v>4687</v>
      </c>
      <c r="R249" s="95">
        <v>8981245</v>
      </c>
      <c r="T249" s="213" t="s">
        <v>5005</v>
      </c>
      <c r="U249" s="213">
        <v>-1194</v>
      </c>
      <c r="V249" s="113">
        <v>335</v>
      </c>
      <c r="W249" s="113">
        <f t="shared" si="53"/>
        <v>-399990</v>
      </c>
      <c r="X249" s="99" t="s">
        <v>4434</v>
      </c>
      <c r="AP249" t="s">
        <v>25</v>
      </c>
    </row>
    <row r="250" spans="15:43">
      <c r="Q250" s="99" t="s">
        <v>4691</v>
      </c>
      <c r="R250" s="95">
        <v>9181756</v>
      </c>
      <c r="T250" s="213" t="s">
        <v>5005</v>
      </c>
      <c r="U250" s="213">
        <v>1194</v>
      </c>
      <c r="V250" s="113">
        <v>335</v>
      </c>
      <c r="W250" s="113">
        <f t="shared" si="53"/>
        <v>399990</v>
      </c>
      <c r="X250" s="99" t="s">
        <v>749</v>
      </c>
      <c r="Y250" t="s">
        <v>25</v>
      </c>
    </row>
    <row r="251" spans="15:43">
      <c r="Q251" s="99" t="s">
        <v>4694</v>
      </c>
      <c r="R251" s="95">
        <v>11811208</v>
      </c>
      <c r="S251" t="s">
        <v>25</v>
      </c>
      <c r="T251" s="213" t="s">
        <v>5012</v>
      </c>
      <c r="U251" s="213">
        <v>433</v>
      </c>
      <c r="V251" s="113">
        <v>345.68</v>
      </c>
      <c r="W251" s="113">
        <f t="shared" si="53"/>
        <v>149679.44</v>
      </c>
      <c r="X251" s="99" t="s">
        <v>749</v>
      </c>
      <c r="Y251" t="s">
        <v>25</v>
      </c>
    </row>
    <row r="252" spans="15:43">
      <c r="Q252" s="99" t="s">
        <v>4708</v>
      </c>
      <c r="R252" s="95">
        <v>41248054</v>
      </c>
      <c r="S252" t="s">
        <v>25</v>
      </c>
      <c r="T252" s="213" t="s">
        <v>5016</v>
      </c>
      <c r="U252" s="213">
        <v>55459</v>
      </c>
      <c r="V252" s="113">
        <v>362.51978000000003</v>
      </c>
      <c r="W252" s="113">
        <f t="shared" si="53"/>
        <v>20104984.479020003</v>
      </c>
      <c r="X252" s="99" t="s">
        <v>452</v>
      </c>
    </row>
    <row r="253" spans="15: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15: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15: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5245</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5307</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5383</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5447</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5453</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5454</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5318</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5318</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5242</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5245</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5245</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5245</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5291</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5307</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5307</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5316</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5319</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5332</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5337</v>
      </c>
      <c r="U315" s="19">
        <v>-1278</v>
      </c>
      <c r="V315" s="117">
        <v>625.98</v>
      </c>
      <c r="W315" s="117">
        <f t="shared" si="71"/>
        <v>-800002.44000000006</v>
      </c>
      <c r="X315" s="280" t="s">
        <v>5338</v>
      </c>
      <c r="AH315" s="20">
        <v>62</v>
      </c>
      <c r="AI315" s="20" t="s">
        <v>4963</v>
      </c>
      <c r="AJ315" s="117">
        <v>50000</v>
      </c>
      <c r="AK315" s="20">
        <v>0</v>
      </c>
      <c r="AL315" s="20">
        <f t="shared" si="77"/>
        <v>364</v>
      </c>
      <c r="AM315" s="20">
        <f t="shared" si="78"/>
        <v>18200000</v>
      </c>
      <c r="AN315" s="20"/>
    </row>
    <row r="316" spans="16:40">
      <c r="Q316" s="99" t="s">
        <v>4902</v>
      </c>
      <c r="R316" s="95">
        <v>1150000</v>
      </c>
      <c r="T316" s="19" t="s">
        <v>5343</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5353</v>
      </c>
      <c r="U317" s="19">
        <v>45094</v>
      </c>
      <c r="V317" s="117">
        <v>614.13559759999998</v>
      </c>
      <c r="W317" s="117">
        <f t="shared" si="71"/>
        <v>27693830.6381744</v>
      </c>
      <c r="X317" s="280" t="s">
        <v>5355</v>
      </c>
      <c r="AH317" s="20">
        <v>64</v>
      </c>
      <c r="AI317" s="20" t="s">
        <v>4971</v>
      </c>
      <c r="AJ317" s="117">
        <v>25000</v>
      </c>
      <c r="AK317" s="20">
        <v>0</v>
      </c>
      <c r="AL317" s="20">
        <f t="shared" si="77"/>
        <v>362</v>
      </c>
      <c r="AM317" s="20">
        <f t="shared" si="78"/>
        <v>9050000</v>
      </c>
      <c r="AN317" s="20"/>
    </row>
    <row r="318" spans="16:40" ht="30">
      <c r="Q318" s="99" t="s">
        <v>4943</v>
      </c>
      <c r="R318" s="95">
        <v>1403460</v>
      </c>
      <c r="T318" s="19" t="s">
        <v>5383</v>
      </c>
      <c r="U318" s="19">
        <v>-11804</v>
      </c>
      <c r="V318" s="117">
        <v>762.46640000000002</v>
      </c>
      <c r="W318" s="117">
        <f t="shared" si="71"/>
        <v>-9000153.3856000006</v>
      </c>
      <c r="X318" s="280" t="s">
        <v>5385</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5428</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5432</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5433</v>
      </c>
      <c r="U321" s="19">
        <v>10253</v>
      </c>
      <c r="V321" s="117">
        <v>827.2568</v>
      </c>
      <c r="W321" s="117">
        <f t="shared" si="71"/>
        <v>8481863.9704</v>
      </c>
      <c r="X321" s="280" t="s">
        <v>5440</v>
      </c>
      <c r="AH321" s="20">
        <v>68</v>
      </c>
      <c r="AI321" s="20" t="s">
        <v>4982</v>
      </c>
      <c r="AJ321" s="117">
        <v>500000</v>
      </c>
      <c r="AK321" s="20">
        <v>1</v>
      </c>
      <c r="AL321" s="20">
        <f t="shared" si="79"/>
        <v>354</v>
      </c>
      <c r="AM321" s="20">
        <f t="shared" si="80"/>
        <v>177000000</v>
      </c>
      <c r="AN321" s="20"/>
    </row>
    <row r="322" spans="17:44">
      <c r="Q322" s="99" t="s">
        <v>4959</v>
      </c>
      <c r="R322" s="95">
        <v>372517</v>
      </c>
      <c r="T322" s="246" t="s">
        <v>5441</v>
      </c>
      <c r="U322" s="246">
        <v>-33077</v>
      </c>
      <c r="V322" s="247">
        <v>786.02973999999995</v>
      </c>
      <c r="W322" s="247">
        <f t="shared" si="71"/>
        <v>-25999505.70998</v>
      </c>
      <c r="X322" s="288" t="s">
        <v>5444</v>
      </c>
      <c r="AH322" s="20">
        <v>69</v>
      </c>
      <c r="AI322" s="20" t="s">
        <v>4988</v>
      </c>
      <c r="AJ322" s="117">
        <v>850000</v>
      </c>
      <c r="AK322" s="20">
        <v>5</v>
      </c>
      <c r="AL322" s="20">
        <f t="shared" si="79"/>
        <v>353</v>
      </c>
      <c r="AM322" s="20">
        <f t="shared" si="80"/>
        <v>300050000</v>
      </c>
      <c r="AN322" s="20"/>
    </row>
    <row r="323" spans="17:44">
      <c r="Q323" s="99" t="s">
        <v>4969</v>
      </c>
      <c r="R323" s="95">
        <v>6489257</v>
      </c>
      <c r="T323" s="19" t="s">
        <v>5441</v>
      </c>
      <c r="U323" s="19">
        <v>-33077</v>
      </c>
      <c r="V323" s="117">
        <v>786.02973999999995</v>
      </c>
      <c r="W323" s="117">
        <f t="shared" si="71"/>
        <v>-25999505.70998</v>
      </c>
      <c r="X323" s="280" t="s">
        <v>5445</v>
      </c>
      <c r="AH323" s="20">
        <v>70</v>
      </c>
      <c r="AI323" s="20" t="s">
        <v>4997</v>
      </c>
      <c r="AJ323" s="117">
        <v>1130250</v>
      </c>
      <c r="AK323" s="20">
        <v>0</v>
      </c>
      <c r="AL323" s="20">
        <f t="shared" si="79"/>
        <v>348</v>
      </c>
      <c r="AM323" s="20">
        <f t="shared" si="80"/>
        <v>393327000</v>
      </c>
      <c r="AN323" s="20"/>
    </row>
    <row r="324" spans="17:44">
      <c r="Q324" s="99" t="s">
        <v>5005</v>
      </c>
      <c r="R324" s="95">
        <v>618000</v>
      </c>
      <c r="T324" s="19" t="s">
        <v>5441</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5446</v>
      </c>
      <c r="U325" s="246">
        <v>-119753</v>
      </c>
      <c r="V325" s="247">
        <v>800.81560000000002</v>
      </c>
      <c r="W325" s="247">
        <f t="shared" si="71"/>
        <v>-95900070.546800002</v>
      </c>
      <c r="X325" s="288" t="s">
        <v>5444</v>
      </c>
      <c r="AH325" s="20">
        <v>72</v>
      </c>
      <c r="AI325" s="20" t="s">
        <v>5005</v>
      </c>
      <c r="AJ325" s="117">
        <v>206000</v>
      </c>
      <c r="AK325" s="20">
        <v>0</v>
      </c>
      <c r="AL325" s="20">
        <f t="shared" si="79"/>
        <v>343</v>
      </c>
      <c r="AM325" s="20">
        <f t="shared" si="80"/>
        <v>70658000</v>
      </c>
      <c r="AN325" s="20"/>
    </row>
    <row r="326" spans="17:44">
      <c r="Q326" s="99" t="s">
        <v>5020</v>
      </c>
      <c r="R326" s="95">
        <v>-21079990</v>
      </c>
      <c r="T326" s="19" t="s">
        <v>5446</v>
      </c>
      <c r="U326" s="19">
        <v>-119753</v>
      </c>
      <c r="V326" s="117">
        <v>800.81560000000002</v>
      </c>
      <c r="W326" s="117">
        <f t="shared" si="71"/>
        <v>-95900070.546800002</v>
      </c>
      <c r="X326" s="280" t="s">
        <v>5445</v>
      </c>
      <c r="AH326" s="149">
        <v>73</v>
      </c>
      <c r="AI326" s="149" t="s">
        <v>5005</v>
      </c>
      <c r="AJ326" s="188">
        <v>206000</v>
      </c>
      <c r="AK326" s="149">
        <v>2</v>
      </c>
      <c r="AL326" s="149">
        <f t="shared" si="79"/>
        <v>343</v>
      </c>
      <c r="AM326" s="149">
        <f t="shared" si="80"/>
        <v>70658000</v>
      </c>
      <c r="AN326" s="149"/>
    </row>
    <row r="327" spans="17:44">
      <c r="Q327" s="99" t="s">
        <v>5021</v>
      </c>
      <c r="R327" s="95">
        <v>-5949277</v>
      </c>
      <c r="T327" s="19" t="s">
        <v>5446</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5447</v>
      </c>
      <c r="U328" s="189">
        <v>-35361</v>
      </c>
      <c r="V328" s="188">
        <v>818.697</v>
      </c>
      <c r="W328" s="188">
        <f t="shared" si="71"/>
        <v>-28949944.616999999</v>
      </c>
      <c r="X328" s="279" t="s">
        <v>5444</v>
      </c>
      <c r="AH328" s="256">
        <v>75</v>
      </c>
      <c r="AI328" s="256" t="s">
        <v>5012</v>
      </c>
      <c r="AJ328" s="247">
        <v>50000</v>
      </c>
      <c r="AK328" s="256">
        <v>2</v>
      </c>
      <c r="AL328" s="256">
        <f t="shared" si="79"/>
        <v>341</v>
      </c>
      <c r="AM328" s="256">
        <f t="shared" si="80"/>
        <v>17050000</v>
      </c>
      <c r="AN328" s="256"/>
    </row>
    <row r="329" spans="17:44">
      <c r="Q329" s="99" t="s">
        <v>5033</v>
      </c>
      <c r="R329" s="95">
        <v>4960000</v>
      </c>
      <c r="T329" s="19" t="s">
        <v>5447</v>
      </c>
      <c r="U329" s="19">
        <v>-35361</v>
      </c>
      <c r="V329" s="117">
        <v>818.697</v>
      </c>
      <c r="W329" s="117">
        <f t="shared" si="71"/>
        <v>-28949944.616999999</v>
      </c>
      <c r="X329" s="280" t="s">
        <v>5445</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5447</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5453</v>
      </c>
      <c r="U331" s="19">
        <v>48633</v>
      </c>
      <c r="V331" s="117">
        <v>822.47199999999998</v>
      </c>
      <c r="W331" s="117">
        <f t="shared" si="71"/>
        <v>39999280.776000001</v>
      </c>
      <c r="X331" s="280" t="s">
        <v>5457</v>
      </c>
      <c r="AH331" s="149">
        <v>78</v>
      </c>
      <c r="AI331" s="149" t="s">
        <v>5027</v>
      </c>
      <c r="AJ331" s="188">
        <v>50000</v>
      </c>
      <c r="AK331" s="149">
        <v>7</v>
      </c>
      <c r="AL331" s="149">
        <f t="shared" si="79"/>
        <v>332</v>
      </c>
      <c r="AM331" s="149">
        <f t="shared" si="80"/>
        <v>16600000</v>
      </c>
      <c r="AN331" s="149"/>
    </row>
    <row r="332" spans="17:44">
      <c r="Q332" s="99" t="s">
        <v>5049</v>
      </c>
      <c r="R332" s="95">
        <v>1000000</v>
      </c>
      <c r="T332" s="19" t="s">
        <v>5453</v>
      </c>
      <c r="U332" s="19">
        <v>3412</v>
      </c>
      <c r="V332" s="117">
        <v>822.47199999999998</v>
      </c>
      <c r="W332" s="117">
        <f t="shared" si="71"/>
        <v>2806274.4640000002</v>
      </c>
      <c r="X332" s="280" t="s">
        <v>5459</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5454</v>
      </c>
      <c r="U333" s="19">
        <v>1531</v>
      </c>
      <c r="V333" s="117">
        <v>869.82500000000005</v>
      </c>
      <c r="W333" s="117">
        <f t="shared" si="71"/>
        <v>1331702.075</v>
      </c>
      <c r="X333" s="280" t="s">
        <v>5460</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5463</v>
      </c>
      <c r="U334" s="172">
        <v>2394</v>
      </c>
      <c r="V334" s="170">
        <v>835.36580000000004</v>
      </c>
      <c r="W334" s="170">
        <f t="shared" si="71"/>
        <v>1999865.7252</v>
      </c>
      <c r="X334" s="289" t="s">
        <v>5465</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5463</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5469</v>
      </c>
      <c r="U336" s="189">
        <v>2316</v>
      </c>
      <c r="V336" s="188">
        <v>818.697</v>
      </c>
      <c r="W336" s="188">
        <f t="shared" si="71"/>
        <v>1896102.2520000001</v>
      </c>
      <c r="X336" s="279" t="s">
        <v>5472</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5478</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5505</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5578</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5579</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5583</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5584</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5586</v>
      </c>
      <c r="U343" s="19">
        <v>85</v>
      </c>
      <c r="V343" s="117">
        <v>1423.74</v>
      </c>
      <c r="W343" s="117">
        <f t="shared" si="71"/>
        <v>121017.9</v>
      </c>
      <c r="X343" s="280" t="s">
        <v>5588</v>
      </c>
      <c r="AH343" s="20">
        <v>90</v>
      </c>
      <c r="AI343" s="20" t="s">
        <v>5100</v>
      </c>
      <c r="AJ343" s="117">
        <v>312598</v>
      </c>
      <c r="AK343" s="20">
        <v>0</v>
      </c>
      <c r="AL343" s="20">
        <f t="shared" si="81"/>
        <v>279</v>
      </c>
      <c r="AM343" s="20">
        <f t="shared" si="82"/>
        <v>87214842</v>
      </c>
      <c r="AN343" s="20"/>
    </row>
    <row r="344" spans="17:46" ht="30">
      <c r="Q344" s="99" t="s">
        <v>5144</v>
      </c>
      <c r="R344" s="95">
        <v>6937</v>
      </c>
      <c r="T344" s="19" t="s">
        <v>5591</v>
      </c>
      <c r="U344" s="19">
        <v>738</v>
      </c>
      <c r="V344" s="117">
        <v>1388.87895</v>
      </c>
      <c r="W344" s="117">
        <f t="shared" si="71"/>
        <v>1024992.6651</v>
      </c>
      <c r="X344" s="280" t="s">
        <v>5608</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5616</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5617</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5618</v>
      </c>
      <c r="U347" s="19">
        <v>13738</v>
      </c>
      <c r="V347" s="117">
        <v>1455.82</v>
      </c>
      <c r="W347" s="117">
        <f t="shared" si="71"/>
        <v>20000055.16</v>
      </c>
      <c r="X347" s="280" t="s">
        <v>5645</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5660</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5661</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5663</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5665</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5666</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5669</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5242</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5245</v>
      </c>
      <c r="R361" s="95">
        <v>-54615</v>
      </c>
      <c r="S361" t="s">
        <v>25</v>
      </c>
      <c r="T361" s="199">
        <f>R186/U358</f>
        <v>1988.0984815896247</v>
      </c>
      <c r="Y361" t="s">
        <v>25</v>
      </c>
      <c r="AH361" s="20">
        <v>108</v>
      </c>
      <c r="AI361" s="20" t="s">
        <v>5206</v>
      </c>
      <c r="AJ361" s="117">
        <v>-880000</v>
      </c>
      <c r="AK361" s="20">
        <v>4</v>
      </c>
      <c r="AL361" s="20">
        <f t="shared" si="81"/>
        <v>235</v>
      </c>
      <c r="AM361" s="20">
        <f t="shared" si="82"/>
        <v>-206800000</v>
      </c>
      <c r="AN361" s="20"/>
    </row>
    <row r="362" spans="17:45">
      <c r="Q362" s="99" t="s">
        <v>5290</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5343</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5353</v>
      </c>
      <c r="R364" s="95">
        <v>27694196</v>
      </c>
      <c r="T364" s="114"/>
      <c r="U364" s="95">
        <v>-15154708</v>
      </c>
      <c r="V364">
        <f>U364/T361</f>
        <v>-7622.7149411042974</v>
      </c>
      <c r="X364">
        <v>102146</v>
      </c>
      <c r="AH364" s="20">
        <v>111</v>
      </c>
      <c r="AI364" s="20" t="s">
        <v>5211</v>
      </c>
      <c r="AJ364" s="117">
        <v>73000</v>
      </c>
      <c r="AK364" s="20">
        <v>1</v>
      </c>
      <c r="AL364" s="20">
        <f t="shared" si="81"/>
        <v>231</v>
      </c>
      <c r="AM364" s="20">
        <f t="shared" si="82"/>
        <v>16863000</v>
      </c>
      <c r="AN364" s="20"/>
    </row>
    <row r="365" spans="17:45">
      <c r="Q365" s="99" t="s">
        <v>5432</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5433</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5441</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5446</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5447</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5453</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5453</v>
      </c>
      <c r="R371" s="95">
        <v>2806274</v>
      </c>
      <c r="AH371" s="20">
        <v>118</v>
      </c>
      <c r="AI371" s="20" t="s">
        <v>5234</v>
      </c>
      <c r="AJ371" s="117">
        <v>-500000</v>
      </c>
      <c r="AK371" s="20">
        <v>12</v>
      </c>
      <c r="AL371" s="20">
        <f t="shared" si="83"/>
        <v>214</v>
      </c>
      <c r="AM371" s="20">
        <f t="shared" si="84"/>
        <v>-107000000</v>
      </c>
      <c r="AN371" s="20"/>
    </row>
    <row r="372" spans="17:45">
      <c r="Q372" s="99" t="s">
        <v>5454</v>
      </c>
      <c r="R372" s="95">
        <v>1331702</v>
      </c>
      <c r="AH372" s="149">
        <v>119</v>
      </c>
      <c r="AI372" s="149" t="s">
        <v>988</v>
      </c>
      <c r="AJ372" s="188">
        <v>-50000</v>
      </c>
      <c r="AK372" s="149">
        <v>0</v>
      </c>
      <c r="AL372" s="149">
        <f t="shared" si="83"/>
        <v>202</v>
      </c>
      <c r="AM372" s="149">
        <f t="shared" si="84"/>
        <v>-10100000</v>
      </c>
      <c r="AN372" s="149"/>
      <c r="AR372" t="s">
        <v>25</v>
      </c>
    </row>
    <row r="373" spans="17:45">
      <c r="Q373" s="99" t="s">
        <v>5463</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5505</v>
      </c>
      <c r="R374" s="95">
        <v>652592</v>
      </c>
      <c r="T374" s="95">
        <f>S227+R280+R392</f>
        <v>1016179718.504536</v>
      </c>
      <c r="U374" s="95">
        <f>R186</f>
        <v>7305923943.1000004</v>
      </c>
      <c r="V374" s="95">
        <f>U374-T374</f>
        <v>6289744224.5954647</v>
      </c>
      <c r="AH374" s="20">
        <v>121</v>
      </c>
      <c r="AI374" s="20" t="s">
        <v>5279</v>
      </c>
      <c r="AJ374" s="117">
        <v>-3020625</v>
      </c>
      <c r="AK374" s="20">
        <v>18</v>
      </c>
      <c r="AL374" s="20">
        <f t="shared" si="83"/>
        <v>174</v>
      </c>
      <c r="AM374" s="20">
        <f t="shared" si="84"/>
        <v>-525588750</v>
      </c>
      <c r="AN374" s="20"/>
      <c r="AS374" t="s">
        <v>25</v>
      </c>
    </row>
    <row r="375" spans="17:45">
      <c r="Q375" s="99" t="s">
        <v>5578</v>
      </c>
      <c r="R375" s="95">
        <v>554139</v>
      </c>
      <c r="AH375" s="20">
        <v>122</v>
      </c>
      <c r="AI375" s="20" t="s">
        <v>5290</v>
      </c>
      <c r="AJ375" s="117">
        <v>18000000</v>
      </c>
      <c r="AK375" s="20">
        <v>19</v>
      </c>
      <c r="AL375" s="20">
        <f t="shared" si="83"/>
        <v>156</v>
      </c>
      <c r="AM375" s="20">
        <f t="shared" si="84"/>
        <v>2808000000</v>
      </c>
      <c r="AN375" s="20"/>
    </row>
    <row r="376" spans="17:45">
      <c r="Q376" s="99" t="s">
        <v>5579</v>
      </c>
      <c r="R376" s="95">
        <v>70373089</v>
      </c>
      <c r="AH376" s="20">
        <v>123</v>
      </c>
      <c r="AI376" s="20" t="s">
        <v>5319</v>
      </c>
      <c r="AJ376" s="117">
        <v>2000000</v>
      </c>
      <c r="AK376" s="20">
        <v>6</v>
      </c>
      <c r="AL376" s="20">
        <f t="shared" si="83"/>
        <v>137</v>
      </c>
      <c r="AM376" s="20">
        <f t="shared" si="84"/>
        <v>274000000</v>
      </c>
      <c r="AN376" s="20"/>
    </row>
    <row r="377" spans="17:45">
      <c r="Q377" s="99" t="s">
        <v>5583</v>
      </c>
      <c r="R377" s="95">
        <v>1219655</v>
      </c>
      <c r="T377" s="117"/>
      <c r="V377" s="114">
        <f>(444000000+2500000)*2/3</f>
        <v>297666666.66666669</v>
      </c>
      <c r="Y377" t="s">
        <v>25</v>
      </c>
      <c r="AH377" s="149">
        <v>124</v>
      </c>
      <c r="AI377" s="149" t="s">
        <v>5332</v>
      </c>
      <c r="AJ377" s="188">
        <v>40000000</v>
      </c>
      <c r="AK377" s="149">
        <v>6</v>
      </c>
      <c r="AL377" s="149">
        <f t="shared" si="83"/>
        <v>131</v>
      </c>
      <c r="AM377" s="149">
        <f t="shared" si="84"/>
        <v>5240000000</v>
      </c>
      <c r="AN377" s="149"/>
      <c r="AR377" t="s">
        <v>25</v>
      </c>
    </row>
    <row r="378" spans="17:45">
      <c r="Q378" s="99" t="s">
        <v>5584</v>
      </c>
      <c r="R378" s="95">
        <v>15350146</v>
      </c>
      <c r="AH378" s="20">
        <v>125</v>
      </c>
      <c r="AI378" s="20" t="s">
        <v>5343</v>
      </c>
      <c r="AJ378" s="117">
        <v>200000</v>
      </c>
      <c r="AK378" s="20">
        <v>0</v>
      </c>
      <c r="AL378" s="20">
        <f t="shared" si="83"/>
        <v>125</v>
      </c>
      <c r="AM378" s="20">
        <f t="shared" si="84"/>
        <v>25000000</v>
      </c>
      <c r="AN378" s="20"/>
    </row>
    <row r="379" spans="17:45">
      <c r="Q379" s="99" t="s">
        <v>5586</v>
      </c>
      <c r="R379" s="95">
        <v>121018</v>
      </c>
      <c r="T379" s="114">
        <f>W322+W323+W325+W326+W328+W329</f>
        <v>-301699041.74755996</v>
      </c>
      <c r="AH379" s="149">
        <v>126</v>
      </c>
      <c r="AI379" s="149" t="s">
        <v>5343</v>
      </c>
      <c r="AJ379" s="188">
        <v>200000</v>
      </c>
      <c r="AK379" s="149">
        <v>1</v>
      </c>
      <c r="AL379" s="149">
        <f t="shared" si="83"/>
        <v>125</v>
      </c>
      <c r="AM379" s="149">
        <f t="shared" si="84"/>
        <v>25000000</v>
      </c>
      <c r="AN379" s="149"/>
    </row>
    <row r="380" spans="17:45">
      <c r="Q380" s="99" t="s">
        <v>5591</v>
      </c>
      <c r="R380" s="95">
        <v>1024993</v>
      </c>
      <c r="T380" t="s">
        <v>25</v>
      </c>
      <c r="AH380" s="20">
        <v>127</v>
      </c>
      <c r="AI380" s="20" t="s">
        <v>5347</v>
      </c>
      <c r="AJ380" s="117">
        <v>50000</v>
      </c>
      <c r="AK380" s="20">
        <v>4</v>
      </c>
      <c r="AL380" s="20">
        <f t="shared" si="83"/>
        <v>124</v>
      </c>
      <c r="AM380" s="20">
        <f t="shared" si="84"/>
        <v>6200000</v>
      </c>
      <c r="AN380" s="20"/>
    </row>
    <row r="381" spans="17:45">
      <c r="Q381" s="99" t="s">
        <v>5616</v>
      </c>
      <c r="R381" s="95">
        <v>1948077</v>
      </c>
      <c r="T381" s="114">
        <f>V377+T379</f>
        <v>-4032375.0808932781</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5617</v>
      </c>
      <c r="R382" s="95">
        <v>50000120</v>
      </c>
      <c r="T382" t="s">
        <v>25</v>
      </c>
      <c r="AH382" s="20">
        <v>129</v>
      </c>
      <c r="AI382" s="20" t="s">
        <v>5368</v>
      </c>
      <c r="AJ382" s="117">
        <v>-550000</v>
      </c>
      <c r="AK382" s="20">
        <v>5</v>
      </c>
      <c r="AL382" s="20">
        <f t="shared" si="85"/>
        <v>111</v>
      </c>
      <c r="AM382" s="20">
        <f t="shared" si="86"/>
        <v>-61050000</v>
      </c>
      <c r="AN382" s="20"/>
    </row>
    <row r="383" spans="17:45">
      <c r="Q383" s="99" t="s">
        <v>5618</v>
      </c>
      <c r="R383" s="95">
        <v>20000055</v>
      </c>
      <c r="S383" t="s">
        <v>25</v>
      </c>
      <c r="T383" t="s">
        <v>25</v>
      </c>
      <c r="AH383" s="20">
        <v>130</v>
      </c>
      <c r="AI383" s="20" t="s">
        <v>5373</v>
      </c>
      <c r="AJ383" s="117">
        <v>-29686490</v>
      </c>
      <c r="AK383" s="20">
        <v>1</v>
      </c>
      <c r="AL383" s="20">
        <f t="shared" si="85"/>
        <v>106</v>
      </c>
      <c r="AM383" s="20">
        <f t="shared" si="86"/>
        <v>-3146767940</v>
      </c>
      <c r="AN383" s="20"/>
    </row>
    <row r="384" spans="17:45">
      <c r="Q384" s="99" t="s">
        <v>5660</v>
      </c>
      <c r="R384" s="95">
        <v>5745697</v>
      </c>
      <c r="AH384" s="20">
        <v>131</v>
      </c>
      <c r="AI384" s="20" t="s">
        <v>5383</v>
      </c>
      <c r="AJ384" s="117">
        <v>-9000000</v>
      </c>
      <c r="AK384" s="20">
        <v>8</v>
      </c>
      <c r="AL384" s="20">
        <f t="shared" si="85"/>
        <v>105</v>
      </c>
      <c r="AM384" s="20">
        <f t="shared" si="86"/>
        <v>-945000000</v>
      </c>
      <c r="AN384" s="20"/>
    </row>
    <row r="385" spans="16:45">
      <c r="Q385" s="99" t="s">
        <v>5661</v>
      </c>
      <c r="R385" s="95">
        <v>908158</v>
      </c>
      <c r="AH385" s="20">
        <v>132</v>
      </c>
      <c r="AI385" s="20" t="s">
        <v>5428</v>
      </c>
      <c r="AJ385" s="117">
        <v>810000</v>
      </c>
      <c r="AK385" s="20">
        <v>2</v>
      </c>
      <c r="AL385" s="20">
        <f t="shared" si="85"/>
        <v>97</v>
      </c>
      <c r="AM385" s="20">
        <f t="shared" si="86"/>
        <v>78570000</v>
      </c>
      <c r="AN385" s="20"/>
    </row>
    <row r="386" spans="16:45">
      <c r="Q386" s="99" t="s">
        <v>5663</v>
      </c>
      <c r="R386" s="95">
        <v>12642697</v>
      </c>
      <c r="T386" t="s">
        <v>25</v>
      </c>
      <c r="AH386" s="20">
        <v>133</v>
      </c>
      <c r="AI386" s="20" t="s">
        <v>5433</v>
      </c>
      <c r="AJ386" s="117">
        <v>-5000000</v>
      </c>
      <c r="AK386" s="20">
        <v>3</v>
      </c>
      <c r="AL386" s="20">
        <f t="shared" si="85"/>
        <v>95</v>
      </c>
      <c r="AM386" s="20">
        <f t="shared" si="86"/>
        <v>-475000000</v>
      </c>
      <c r="AN386" s="20"/>
      <c r="AQ386" t="s">
        <v>25</v>
      </c>
    </row>
    <row r="387" spans="16:45">
      <c r="Q387" s="99" t="s">
        <v>5665</v>
      </c>
      <c r="R387" s="95">
        <v>12297317.81435</v>
      </c>
      <c r="T387" t="s">
        <v>25</v>
      </c>
      <c r="AF387" s="96" t="s">
        <v>25</v>
      </c>
      <c r="AH387" s="20">
        <v>134</v>
      </c>
      <c r="AI387" s="20" t="s">
        <v>5441</v>
      </c>
      <c r="AJ387" s="117">
        <v>-26000000</v>
      </c>
      <c r="AK387" s="20">
        <v>0</v>
      </c>
      <c r="AL387" s="20">
        <f t="shared" si="85"/>
        <v>92</v>
      </c>
      <c r="AM387" s="20">
        <f t="shared" si="86"/>
        <v>-2392000000</v>
      </c>
      <c r="AN387" s="20"/>
    </row>
    <row r="388" spans="16:45">
      <c r="Q388" s="99" t="s">
        <v>5666</v>
      </c>
      <c r="R388" s="95">
        <v>8959643.8508579992</v>
      </c>
      <c r="W388" s="96" t="s">
        <v>25</v>
      </c>
      <c r="AH388" s="256">
        <v>135</v>
      </c>
      <c r="AI388" s="256" t="s">
        <v>5441</v>
      </c>
      <c r="AJ388" s="247">
        <v>-26000000</v>
      </c>
      <c r="AK388" s="256">
        <v>1</v>
      </c>
      <c r="AL388" s="256">
        <f t="shared" si="85"/>
        <v>92</v>
      </c>
      <c r="AM388" s="256">
        <f t="shared" si="86"/>
        <v>-2392000000</v>
      </c>
      <c r="AN388" s="256"/>
      <c r="AS388" t="s">
        <v>25</v>
      </c>
    </row>
    <row r="389" spans="16:45">
      <c r="Q389" s="99" t="s">
        <v>5669</v>
      </c>
      <c r="R389" s="95">
        <v>15154095.839328</v>
      </c>
      <c r="T389" t="s">
        <v>25</v>
      </c>
      <c r="AH389" s="20">
        <v>136</v>
      </c>
      <c r="AI389" s="20" t="s">
        <v>5446</v>
      </c>
      <c r="AJ389" s="117">
        <v>-81800000</v>
      </c>
      <c r="AK389" s="20">
        <v>0</v>
      </c>
      <c r="AL389" s="20">
        <f t="shared" si="85"/>
        <v>91</v>
      </c>
      <c r="AM389" s="20">
        <f t="shared" si="86"/>
        <v>-7443800000</v>
      </c>
      <c r="AN389" s="20"/>
    </row>
    <row r="390" spans="16:45">
      <c r="Q390" s="99"/>
      <c r="R390" s="95"/>
      <c r="T390" t="s">
        <v>25</v>
      </c>
      <c r="AH390" s="256">
        <v>137</v>
      </c>
      <c r="AI390" s="256" t="s">
        <v>5446</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5447</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5447</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5463</v>
      </c>
      <c r="AJ393" s="117">
        <v>1000000</v>
      </c>
      <c r="AK393" s="20">
        <v>0</v>
      </c>
      <c r="AL393" s="20">
        <f t="shared" si="87"/>
        <v>85</v>
      </c>
      <c r="AM393" s="20">
        <f t="shared" si="88"/>
        <v>85000000</v>
      </c>
      <c r="AN393" s="20"/>
      <c r="AR393" t="s">
        <v>25</v>
      </c>
    </row>
    <row r="394" spans="16:45">
      <c r="T394" t="s">
        <v>25</v>
      </c>
      <c r="AH394" s="149">
        <v>141</v>
      </c>
      <c r="AI394" s="149" t="s">
        <v>5463</v>
      </c>
      <c r="AJ394" s="188">
        <v>1000000</v>
      </c>
      <c r="AK394" s="149">
        <v>4</v>
      </c>
      <c r="AL394" s="149">
        <f t="shared" si="87"/>
        <v>85</v>
      </c>
      <c r="AM394" s="149">
        <f t="shared" si="88"/>
        <v>85000000</v>
      </c>
      <c r="AN394" s="149"/>
    </row>
    <row r="395" spans="16:45">
      <c r="T395" t="s">
        <v>25</v>
      </c>
      <c r="U395" s="96" t="s">
        <v>25</v>
      </c>
      <c r="V395" t="s">
        <v>25</v>
      </c>
      <c r="AH395" s="20">
        <v>142</v>
      </c>
      <c r="AI395" s="20" t="s">
        <v>5469</v>
      </c>
      <c r="AJ395" s="117">
        <v>400000</v>
      </c>
      <c r="AK395" s="20">
        <v>0</v>
      </c>
      <c r="AL395" s="20">
        <f t="shared" si="87"/>
        <v>81</v>
      </c>
      <c r="AM395" s="20">
        <f t="shared" si="88"/>
        <v>32400000</v>
      </c>
      <c r="AN395" s="20"/>
    </row>
    <row r="396" spans="16:45">
      <c r="Q396" t="s">
        <v>25</v>
      </c>
      <c r="T396" t="s">
        <v>25</v>
      </c>
      <c r="U396" s="96" t="s">
        <v>25</v>
      </c>
      <c r="AH396" s="149">
        <v>143</v>
      </c>
      <c r="AI396" s="149" t="s">
        <v>5469</v>
      </c>
      <c r="AJ396" s="188">
        <v>400000</v>
      </c>
      <c r="AK396" s="149">
        <v>35</v>
      </c>
      <c r="AL396" s="149">
        <f t="shared" si="87"/>
        <v>81</v>
      </c>
      <c r="AM396" s="149">
        <f t="shared" si="88"/>
        <v>32400000</v>
      </c>
      <c r="AN396" s="149"/>
    </row>
    <row r="397" spans="16:45">
      <c r="U397" s="96" t="s">
        <v>25</v>
      </c>
      <c r="AH397" s="20">
        <v>144</v>
      </c>
      <c r="AI397" s="20" t="s">
        <v>5518</v>
      </c>
      <c r="AJ397" s="117">
        <v>3000000</v>
      </c>
      <c r="AK397" s="20">
        <v>0</v>
      </c>
      <c r="AL397" s="20">
        <f t="shared" si="87"/>
        <v>46</v>
      </c>
      <c r="AM397" s="20">
        <f t="shared" si="88"/>
        <v>138000000</v>
      </c>
      <c r="AN397" s="20"/>
    </row>
    <row r="398" spans="16:45">
      <c r="T398" t="s">
        <v>25</v>
      </c>
      <c r="V398" t="s">
        <v>25</v>
      </c>
      <c r="AH398" s="149">
        <v>145</v>
      </c>
      <c r="AI398" s="149" t="s">
        <v>5518</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5394</v>
      </c>
      <c r="AJ399" s="188">
        <v>-8644090</v>
      </c>
      <c r="AK399" s="149">
        <v>0</v>
      </c>
      <c r="AL399" s="149">
        <f t="shared" si="89"/>
        <v>27</v>
      </c>
      <c r="AM399" s="149">
        <f t="shared" si="90"/>
        <v>-233390430</v>
      </c>
      <c r="AN399" s="149" t="s">
        <v>4785</v>
      </c>
    </row>
    <row r="400" spans="16:45">
      <c r="AH400" s="20">
        <v>147</v>
      </c>
      <c r="AI400" s="20" t="s">
        <v>5394</v>
      </c>
      <c r="AJ400" s="117">
        <v>-65461942</v>
      </c>
      <c r="AK400" s="20">
        <v>1</v>
      </c>
      <c r="AL400" s="20">
        <f t="shared" si="89"/>
        <v>27</v>
      </c>
      <c r="AM400" s="20">
        <f t="shared" si="90"/>
        <v>-1767472434</v>
      </c>
      <c r="AN400" s="20" t="s">
        <v>4785</v>
      </c>
    </row>
    <row r="401" spans="18:45">
      <c r="R401" t="s">
        <v>25</v>
      </c>
      <c r="U401" s="96" t="s">
        <v>25</v>
      </c>
      <c r="AH401" s="20">
        <v>148</v>
      </c>
      <c r="AI401" s="20" t="s">
        <v>5551</v>
      </c>
      <c r="AJ401" s="117">
        <v>35000000</v>
      </c>
      <c r="AK401" s="20">
        <v>15</v>
      </c>
      <c r="AL401" s="20">
        <f t="shared" si="89"/>
        <v>26</v>
      </c>
      <c r="AM401" s="20">
        <f t="shared" si="90"/>
        <v>910000000</v>
      </c>
      <c r="AN401" s="20"/>
    </row>
    <row r="402" spans="18:45">
      <c r="AH402" s="149">
        <v>149</v>
      </c>
      <c r="AI402" s="149" t="s">
        <v>5586</v>
      </c>
      <c r="AJ402" s="188">
        <v>1400000</v>
      </c>
      <c r="AK402" s="149">
        <v>0</v>
      </c>
      <c r="AL402" s="149">
        <f t="shared" ref="AL402:AL404" si="91">AK402+AL403</f>
        <v>11</v>
      </c>
      <c r="AM402" s="149">
        <f t="shared" ref="AM402:AM405" si="92">AJ402*AL402</f>
        <v>15400000</v>
      </c>
      <c r="AN402" s="149"/>
      <c r="AS402" t="s">
        <v>25</v>
      </c>
    </row>
    <row r="403" spans="18:45">
      <c r="AH403" s="20">
        <v>150</v>
      </c>
      <c r="AI403" s="20" t="s">
        <v>5586</v>
      </c>
      <c r="AJ403" s="117">
        <v>1600000</v>
      </c>
      <c r="AK403" s="20">
        <v>1</v>
      </c>
      <c r="AL403" s="20">
        <f t="shared" si="91"/>
        <v>11</v>
      </c>
      <c r="AM403" s="20">
        <f t="shared" si="92"/>
        <v>17600000</v>
      </c>
      <c r="AN403" s="20"/>
    </row>
    <row r="404" spans="18:45">
      <c r="AH404" s="149">
        <v>151</v>
      </c>
      <c r="AI404" s="149" t="s">
        <v>5590</v>
      </c>
      <c r="AJ404" s="188">
        <v>600000</v>
      </c>
      <c r="AK404" s="149">
        <v>0</v>
      </c>
      <c r="AL404" s="149">
        <f t="shared" si="91"/>
        <v>10</v>
      </c>
      <c r="AM404" s="149">
        <f t="shared" si="92"/>
        <v>6000000</v>
      </c>
      <c r="AN404" s="149" t="s">
        <v>5594</v>
      </c>
    </row>
    <row r="405" spans="18:45">
      <c r="AH405" s="20">
        <v>152</v>
      </c>
      <c r="AI405" s="20" t="s">
        <v>5590</v>
      </c>
      <c r="AJ405" s="117">
        <v>600000</v>
      </c>
      <c r="AK405" s="20">
        <v>9</v>
      </c>
      <c r="AL405" s="20">
        <f>AK405+AL406</f>
        <v>10</v>
      </c>
      <c r="AM405" s="20">
        <f t="shared" si="92"/>
        <v>6000000</v>
      </c>
      <c r="AN405" s="20" t="s">
        <v>5594</v>
      </c>
    </row>
    <row r="406" spans="18:45">
      <c r="AH406" s="20">
        <v>153</v>
      </c>
      <c r="AI406" s="20" t="s">
        <v>5618</v>
      </c>
      <c r="AJ406" s="117">
        <v>20000000</v>
      </c>
      <c r="AK406" s="20">
        <v>1</v>
      </c>
      <c r="AL406" s="20">
        <f t="shared" ref="AL406:AL413" si="93">AK406+AL407</f>
        <v>1</v>
      </c>
      <c r="AM406" s="20">
        <f t="shared" ref="AM406:AM413" si="94">AJ406*AL406</f>
        <v>20000000</v>
      </c>
      <c r="AN406" s="20" t="s">
        <v>5644</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2522912328.3000002</v>
      </c>
    </row>
    <row r="419" spans="35:45">
      <c r="AI419" t="s">
        <v>4132</v>
      </c>
      <c r="AJ419" s="114">
        <f>AJ418-AJ414</f>
        <v>2364802623.3000002</v>
      </c>
    </row>
    <row r="420" spans="35:45">
      <c r="AI420" t="s">
        <v>940</v>
      </c>
      <c r="AJ420" s="114">
        <f>AN414</f>
        <v>90780366.33929494</v>
      </c>
      <c r="AR420" t="s">
        <v>25</v>
      </c>
    </row>
    <row r="421" spans="35:45">
      <c r="AI421" t="s">
        <v>4061</v>
      </c>
      <c r="AJ421" s="114">
        <f>AJ419-AJ420</f>
        <v>2274022256.9607053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34:G1048576 G200:G221 G223:G229">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1" zoomScale="85" zoomScaleNormal="85" workbookViewId="0">
      <selection activeCell="R90" sqref="R90"/>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5649</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5654</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5491</v>
      </c>
      <c r="W94" s="69" t="s">
        <v>1232</v>
      </c>
      <c r="X94" s="69" t="s">
        <v>938</v>
      </c>
      <c r="Y94" s="69" t="s">
        <v>5523</v>
      </c>
    </row>
    <row r="95" spans="1:25">
      <c r="A95" s="293"/>
      <c r="B95" s="293"/>
      <c r="C95" s="295">
        <f>C122</f>
        <v>1194</v>
      </c>
      <c r="D95" s="293">
        <v>1</v>
      </c>
      <c r="E95" s="62" t="s">
        <v>4378</v>
      </c>
      <c r="F95" s="51">
        <f>C124</f>
        <v>14700</v>
      </c>
      <c r="G95" s="293">
        <f>C95*D95*0.99025/(F95*1.0046399)</f>
        <v>8.0061075635566706E-2</v>
      </c>
      <c r="H95" s="294">
        <f>C95/F95</f>
        <v>8.122448979591837E-2</v>
      </c>
      <c r="I95" s="311">
        <f>F95/C95</f>
        <v>12.311557788944723</v>
      </c>
      <c r="J95" s="99"/>
      <c r="K95" s="99">
        <f>H95/H90</f>
        <v>0.96456580335169351</v>
      </c>
      <c r="L95" s="99">
        <f>(1/K95-1.03)*100</f>
        <v>0.67359038908272328</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1212</v>
      </c>
      <c r="Y96" s="117">
        <f>T96*X96</f>
        <v>357540000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5514</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5490</v>
      </c>
      <c r="S98" s="99" t="s">
        <v>5387</v>
      </c>
      <c r="T98" s="99">
        <v>0</v>
      </c>
      <c r="U98" s="117">
        <v>683292</v>
      </c>
      <c r="V98" s="117"/>
      <c r="W98" s="117"/>
      <c r="X98" s="99">
        <f>'برنامه 5 ساله'!P49</f>
        <v>772.2</v>
      </c>
      <c r="Y98" s="117">
        <f>U98</f>
        <v>683292</v>
      </c>
    </row>
    <row r="99" spans="1:27" ht="18.75">
      <c r="A99" s="293" t="s">
        <v>5515</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5490</v>
      </c>
      <c r="S99" s="99" t="s">
        <v>4547</v>
      </c>
      <c r="T99" s="99">
        <v>0</v>
      </c>
      <c r="U99" s="117">
        <v>270969</v>
      </c>
      <c r="V99" s="117"/>
      <c r="W99" s="117"/>
      <c r="X99" s="99">
        <v>1500</v>
      </c>
      <c r="Y99" s="117">
        <f>U99</f>
        <v>270969</v>
      </c>
      <c r="AA99" t="s">
        <v>25</v>
      </c>
    </row>
    <row r="100" spans="1:27" ht="18.75">
      <c r="A100" s="293" t="s">
        <v>5526</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5518</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380130446.39999998</v>
      </c>
    </row>
    <row r="103" spans="1:27" ht="18.75">
      <c r="A103" s="293" t="s">
        <v>5526</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5586</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5586</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5530</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5586</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5586</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5523</v>
      </c>
      <c r="Z108" t="s">
        <v>25</v>
      </c>
    </row>
    <row r="109" spans="1:27" ht="18.75">
      <c r="A109" s="293" t="s">
        <v>5586</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5586</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5586</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1212</v>
      </c>
      <c r="Y111" s="99">
        <f>T111*X111</f>
        <v>15678432</v>
      </c>
    </row>
    <row r="112" spans="1:27" ht="19.5">
      <c r="A112" s="293"/>
      <c r="B112" s="293"/>
      <c r="C112" s="295"/>
      <c r="D112" s="293"/>
      <c r="E112" s="291"/>
      <c r="F112" s="292"/>
      <c r="G112" s="300"/>
      <c r="H112" s="307"/>
      <c r="I112" s="311"/>
      <c r="J112" s="99"/>
      <c r="K112" s="313"/>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5490</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272427882.29999995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5574</v>
      </c>
      <c r="M118" s="303"/>
      <c r="N118" s="99"/>
      <c r="R118" t="s">
        <v>25</v>
      </c>
      <c r="W118" t="s">
        <v>5524</v>
      </c>
      <c r="X118" s="114">
        <f>Y102+Y115-U102-U115</f>
        <v>350858328.69999993</v>
      </c>
    </row>
    <row r="119" spans="1:25" ht="18.75">
      <c r="A119" s="293" t="s">
        <v>5583</v>
      </c>
      <c r="B119" s="293" t="s">
        <v>4233</v>
      </c>
      <c r="C119" s="321">
        <f>C122</f>
        <v>1194</v>
      </c>
      <c r="D119" s="293">
        <v>1</v>
      </c>
      <c r="E119" s="291" t="s">
        <v>4382</v>
      </c>
      <c r="F119" s="320">
        <f>C123</f>
        <v>16412.5</v>
      </c>
      <c r="G119" s="293">
        <f>C119*D119*0.99025/(C123*1.0046399)</f>
        <v>7.1707406662167905E-2</v>
      </c>
      <c r="H119" s="294">
        <f>C119/F119</f>
        <v>7.2749428789032747E-2</v>
      </c>
      <c r="I119" s="294">
        <f>F119/C119</f>
        <v>13.745812395309883</v>
      </c>
      <c r="J119" s="99"/>
      <c r="K119" s="314">
        <f>H119/H104</f>
        <v>0.96982131430532792</v>
      </c>
      <c r="L119" s="315">
        <f>(1/K119-1.03)*100</f>
        <v>0.11177793780379197</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1194</v>
      </c>
      <c r="D122" t="s">
        <v>25</v>
      </c>
      <c r="G122" t="s">
        <v>25</v>
      </c>
      <c r="M122" s="99">
        <f t="shared" si="34"/>
        <v>8.0410712932935641E-2</v>
      </c>
      <c r="N122" s="99">
        <f t="shared" si="33"/>
        <v>12.436153884545492</v>
      </c>
      <c r="R122" t="s">
        <v>25</v>
      </c>
    </row>
    <row r="123" spans="1:25" ht="21">
      <c r="C123" s="316">
        <v>16412.5</v>
      </c>
      <c r="I123" s="96" t="s">
        <v>5653</v>
      </c>
      <c r="J123" t="s">
        <v>25</v>
      </c>
      <c r="M123" s="99">
        <f t="shared" si="34"/>
        <v>8.1214820062264992E-2</v>
      </c>
      <c r="N123" s="99">
        <f t="shared" si="33"/>
        <v>12.313023648064844</v>
      </c>
      <c r="R123" t="s">
        <v>25</v>
      </c>
      <c r="S123" t="s">
        <v>25</v>
      </c>
    </row>
    <row r="124" spans="1:25">
      <c r="C124" s="324">
        <v>14700</v>
      </c>
      <c r="G124" s="96"/>
      <c r="H124" s="96"/>
      <c r="K124" t="s">
        <v>25</v>
      </c>
      <c r="L124" t="s">
        <v>25</v>
      </c>
      <c r="M124" s="99">
        <f t="shared" si="34"/>
        <v>8.2026968262887648E-2</v>
      </c>
      <c r="N124" s="99">
        <f t="shared" si="33"/>
        <v>12.191112522836479</v>
      </c>
    </row>
    <row r="125" spans="1:25">
      <c r="C125" s="96"/>
      <c r="F125" s="326" t="s">
        <v>5592</v>
      </c>
      <c r="G125" s="326"/>
      <c r="H125" s="96"/>
      <c r="J125" t="s">
        <v>25</v>
      </c>
      <c r="M125" s="99">
        <f t="shared" si="34"/>
        <v>8.284723794551653E-2</v>
      </c>
      <c r="N125" s="99">
        <f t="shared" si="33"/>
        <v>12.070408438451958</v>
      </c>
    </row>
    <row r="126" spans="1:25">
      <c r="C126" s="115"/>
      <c r="D126" s="115"/>
      <c r="E126" s="115"/>
      <c r="F126" s="327" t="s">
        <v>5593</v>
      </c>
      <c r="G126" s="327"/>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9860.8900866086024</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38" zoomScale="85" zoomScaleNormal="85" workbookViewId="0">
      <selection activeCell="S359" sqref="S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5583</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5584</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5586</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5591</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5616</v>
      </c>
      <c r="L346" s="84">
        <v>3220000000</v>
      </c>
      <c r="M346" s="84">
        <v>1580000000</v>
      </c>
      <c r="N346" s="113">
        <f t="shared" si="44"/>
        <v>4800000000</v>
      </c>
      <c r="O346" s="113">
        <f t="shared" si="45"/>
        <v>16994429</v>
      </c>
      <c r="P346" s="113">
        <f t="shared" si="46"/>
        <v>32497144</v>
      </c>
      <c r="Q346" s="229">
        <v>0</v>
      </c>
    </row>
    <row r="347" spans="9:19">
      <c r="I347" s="189" t="s">
        <v>5632</v>
      </c>
      <c r="J347" s="188">
        <f>L347-L346-50000000</f>
        <v>30000000</v>
      </c>
      <c r="K347" s="189" t="s">
        <v>5617</v>
      </c>
      <c r="L347" s="237">
        <v>3300000000</v>
      </c>
      <c r="M347" s="237">
        <v>1600000000</v>
      </c>
      <c r="N347" s="188">
        <f t="shared" si="44"/>
        <v>4900000000</v>
      </c>
      <c r="O347" s="188">
        <f t="shared" si="45"/>
        <v>20000000</v>
      </c>
      <c r="P347" s="188">
        <f>N347-N346-50000000</f>
        <v>50000000</v>
      </c>
      <c r="Q347" s="229">
        <v>50000000</v>
      </c>
    </row>
    <row r="348" spans="9:19">
      <c r="I348" s="189" t="s">
        <v>5642</v>
      </c>
      <c r="J348" s="188">
        <f t="shared" si="37"/>
        <v>79324490</v>
      </c>
      <c r="K348" s="189" t="s">
        <v>5618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5649</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5651</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5654</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5657</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5658</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5660</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5661</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5663</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5665</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5666</v>
      </c>
      <c r="L358" s="84">
        <v>4477673632</v>
      </c>
      <c r="M358" s="84">
        <f>M357*L358/L357</f>
        <v>2158573890.3997889</v>
      </c>
      <c r="N358" s="113">
        <f t="shared" si="44"/>
        <v>6636247522.3997889</v>
      </c>
      <c r="O358" s="113">
        <f t="shared" si="45"/>
        <v>-47112234.600211143</v>
      </c>
      <c r="P358" s="113">
        <f t="shared" si="46"/>
        <v>-144840281.60021114</v>
      </c>
      <c r="Q358" s="229">
        <v>0</v>
      </c>
    </row>
    <row r="359" spans="9:21">
      <c r="I359" s="213"/>
      <c r="J359" s="113">
        <f t="shared" si="37"/>
        <v>127023161</v>
      </c>
      <c r="K359" s="213" t="s">
        <v>5669</v>
      </c>
      <c r="L359" s="84">
        <v>4604696793</v>
      </c>
      <c r="M359" s="84">
        <f>M358*L359/L358</f>
        <v>2219808562.9876118</v>
      </c>
      <c r="N359" s="35">
        <f t="shared" si="44"/>
        <v>6824505355.9876118</v>
      </c>
      <c r="O359" s="113">
        <f t="shared" si="45"/>
        <v>61234672.587822914</v>
      </c>
      <c r="P359" s="113">
        <f t="shared" si="46"/>
        <v>188257833.58782291</v>
      </c>
      <c r="Q359" s="229">
        <v>0</v>
      </c>
    </row>
    <row r="360" spans="9:21">
      <c r="I360" s="213"/>
      <c r="J360" s="113">
        <f t="shared" si="37"/>
        <v>-4604696793</v>
      </c>
      <c r="K360" s="213"/>
      <c r="L360" s="84"/>
      <c r="M360" s="84"/>
      <c r="N360" s="113">
        <f t="shared" si="44"/>
        <v>0</v>
      </c>
      <c r="O360" s="113">
        <f t="shared" si="45"/>
        <v>-2219808562.9876118</v>
      </c>
      <c r="P360" s="113">
        <f t="shared" si="46"/>
        <v>-6824505355.9876118</v>
      </c>
    </row>
    <row r="361" spans="9:21">
      <c r="I361" s="213"/>
      <c r="J361" s="113">
        <f t="shared" si="37"/>
        <v>0</v>
      </c>
      <c r="K361" s="213"/>
      <c r="L361" s="84"/>
      <c r="M361" s="84"/>
      <c r="N361" s="113">
        <f t="shared" si="44"/>
        <v>0</v>
      </c>
      <c r="O361" s="113">
        <f t="shared" si="45"/>
        <v>0</v>
      </c>
      <c r="P361" s="113">
        <f t="shared" si="46"/>
        <v>0</v>
      </c>
    </row>
    <row r="362" spans="9:21">
      <c r="I362" s="213"/>
      <c r="J362" s="113">
        <f t="shared" si="37"/>
        <v>0</v>
      </c>
      <c r="K362" s="213"/>
      <c r="L362" s="84"/>
      <c r="M362" s="84"/>
      <c r="N362" s="113">
        <f t="shared" si="44"/>
        <v>0</v>
      </c>
      <c r="O362" s="113">
        <f t="shared" si="45"/>
        <v>0</v>
      </c>
      <c r="P362" s="113">
        <f t="shared" si="46"/>
        <v>0</v>
      </c>
    </row>
    <row r="363" spans="9:21">
      <c r="I363" s="213"/>
      <c r="J363" s="113">
        <f t="shared" si="37"/>
        <v>0</v>
      </c>
      <c r="K363" s="213"/>
      <c r="L363" s="84"/>
      <c r="M363" s="84"/>
      <c r="N363" s="113">
        <f t="shared" si="44"/>
        <v>0</v>
      </c>
      <c r="O363" s="113">
        <f t="shared" si="45"/>
        <v>0</v>
      </c>
      <c r="P363" s="113">
        <f t="shared" si="46"/>
        <v>0</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5618</v>
      </c>
      <c r="I31" s="11">
        <v>267000</v>
      </c>
      <c r="J31" s="11" t="s">
        <v>477</v>
      </c>
    </row>
    <row r="32" spans="2:21">
      <c r="G32" s="11">
        <f>$I$48-I32</f>
        <v>82000</v>
      </c>
      <c r="H32" s="59" t="s">
        <v>792</v>
      </c>
      <c r="I32" s="11">
        <v>185000</v>
      </c>
      <c r="J32" s="11" t="s">
        <v>558</v>
      </c>
    </row>
    <row r="33" spans="6:23">
      <c r="G33" s="11">
        <f t="shared" si="5"/>
        <v>0</v>
      </c>
      <c r="H33" s="11" t="s">
        <v>5618</v>
      </c>
      <c r="I33" s="11">
        <v>267000</v>
      </c>
      <c r="J33" s="11" t="s">
        <v>566</v>
      </c>
    </row>
    <row r="34" spans="6:23">
      <c r="G34" s="11">
        <f t="shared" si="5"/>
        <v>0</v>
      </c>
      <c r="H34" s="11" t="s">
        <v>5618</v>
      </c>
      <c r="I34" s="11">
        <v>267000</v>
      </c>
      <c r="J34" s="11" t="s">
        <v>567</v>
      </c>
    </row>
    <row r="35" spans="6:23">
      <c r="G35" s="11">
        <f t="shared" si="5"/>
        <v>0</v>
      </c>
      <c r="H35" s="11" t="s">
        <v>5618</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2020-06-15T11:37:40Z</dcterms:modified>
</cp:coreProperties>
</file>