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P7" i="60" l="1"/>
  <c r="P9" i="60"/>
  <c r="P10" i="60"/>
  <c r="P11" i="60"/>
  <c r="P12" i="60"/>
  <c r="P13" i="60"/>
  <c r="P14" i="60"/>
  <c r="O6" i="60"/>
  <c r="N6" i="60"/>
  <c r="M6" i="60"/>
  <c r="V155" i="18"/>
  <c r="W155" i="18" s="1"/>
  <c r="S155" i="18"/>
  <c r="N28" i="63"/>
  <c r="L41" i="18"/>
  <c r="X155" i="18" l="1"/>
  <c r="S140" i="60"/>
  <c r="S141" i="60"/>
  <c r="S142" i="60"/>
  <c r="S143" i="60"/>
  <c r="R143" i="60"/>
  <c r="R142" i="60" s="1"/>
  <c r="R141" i="60" s="1"/>
  <c r="R140" i="60" s="1"/>
  <c r="R139" i="60" s="1"/>
  <c r="R138" i="60" s="1"/>
  <c r="S138" i="60" s="1"/>
  <c r="S139" i="60" l="1"/>
  <c r="B142" i="60"/>
  <c r="R144" i="60" l="1"/>
  <c r="R137" i="60" s="1"/>
  <c r="D17" i="60"/>
  <c r="D18" i="60"/>
  <c r="D16" i="60"/>
  <c r="F17" i="60"/>
  <c r="F18" i="60"/>
  <c r="F16" i="60"/>
  <c r="R136" i="60" l="1"/>
  <c r="S137" i="60"/>
  <c r="W496" i="18"/>
  <c r="W495" i="18"/>
  <c r="R135" i="60" l="1"/>
  <c r="R134" i="60" s="1"/>
  <c r="S136" i="60"/>
  <c r="V154" i="18"/>
  <c r="W154" i="18" s="1"/>
  <c r="X154" i="18"/>
  <c r="S154" i="18"/>
  <c r="I34" i="63" l="1"/>
  <c r="J34" i="63" s="1"/>
  <c r="I29" i="63" l="1"/>
  <c r="I32" i="63"/>
  <c r="H29" i="63"/>
  <c r="G29" i="63"/>
  <c r="J29" i="63" l="1"/>
  <c r="K29" i="63" s="1"/>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G142" i="60"/>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R127" i="60" l="1"/>
  <c r="S128" i="60"/>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5"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5"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P8" i="60" s="1"/>
  <c r="K6" i="60"/>
  <c r="P6" i="60" s="1"/>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<sst xmlns="http://schemas.openxmlformats.org/spreadsheetml/2006/main" count="15666" uniqueCount="6559">
  <si>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</si>
  <si>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</si>
  <si>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</si>
  <si>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</si>
  <si>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</si>
  <si>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</si>
  <si>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</si>
  <si>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</si>
  <si>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</si>
  <si>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</si>
  <si>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</si>
  <si>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</si>
  <si>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</si>
  <si>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</si>
  <si>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</si>
  <si>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</si>
  <si>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</si>
  <si>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</si>
  <si>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</si>
  <si>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</si>
  <si>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</si>
  <si>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</si>
  <si>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</si>
  <si>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</si>
  <si>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</si>
  <si>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</si>
  <si>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</si>
  <si>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</si>
  <si>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</si>
  <si>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</si>
  <si>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</si>
  <si>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</si>
  <si>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</si>
  <si>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</si>
  <si>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</si>
  <si>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</si>
  <si>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</si>
  <si>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</si>
  <si>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</si>
  <si>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</si>
  <si>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</si>
  <si>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</si>
  <si>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</si>
  <si>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</si>
  <si>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</si>
  <si>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</si>
  <si>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</si>
  <si>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</si>
  <si>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</si>
  <si>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</si>
  <si>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</si>
  <si>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</si>
  <si>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</si>
  <si>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</si>
  <si>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</si>
  <si>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</si>
  <si>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</si>
  <si>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</si>
  <si>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</si>
  <si>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</si>
  <si>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</si>
  <si>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</si>
  <si>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</si>
  <si>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</si>
  <si>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</si>
  <si>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</si>
  <si>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</si>
  <si>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</si>
  <si>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</si>
  <si>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</si>
  <si>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</si>
  <si>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</si>
  <si>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</si>
  <si>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</si>
  <si>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</si>
  <si>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</si>
  <si>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</si>
  <si>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</si>
  <si>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</si>
  <si>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</si>
  <si>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</si>
  <si>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</si>
  <si>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</si>
  <si>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</si>
  <si>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</si>
  <si>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</si>
  <si>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</si>
  <si>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</si>
  <si>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</si>
  <si>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</si>
  <si>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</si>
  <si>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</si>
  <si>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</si>
  <si>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</si>
  <si>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</si>
  <si>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</si>
  <si>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</si>
  <si>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</si>
  <si>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</si>
  <si>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</si>
  <si>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</si>
  <si>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</si>
  <si>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</si>
  <si>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</si>
  <si>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</si>
  <si>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</si>
  <si>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</si>
  <si>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</si>
  <si>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</si>
  <si>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</si>
  <si>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</si>
  <si>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</si>
  <si>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</si>
  <si>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</si>
  <si>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</si>
  <si>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</si>
  <si>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</si>
  <si>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</si>
  <si>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</si>
  <si>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</si>
  <si>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</si>
  <si>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</si>
  <si>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</si>
  <si>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</si>
  <si>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</si>
  <si>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</si>
  <si>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</si>
  <si>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</si>
  <si>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</si>
  <si>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</si>
  <si>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</si>
  <si>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</si>
  <si>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</si>
  <si>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</si>
  <si>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</si>
  <si>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</si>
  <si>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</si>
  <si>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</si>
  <si>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</si>
  <si>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</si>
  <si>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</si>
  <si>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</si>
  <si>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</si>
  <si>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</si>
  <si>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</si>
  <si>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</si>
  <si>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</si>
  <si>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</si>
  <si>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</si>
  <si>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</si>
  <si>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</si>
  <si>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</si>
  <si>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</si>
  <si>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</si>
  <si>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</si>
  <si>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</si>
  <si>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</si>
  <si>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</si>
  <si>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</si>
  <si>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</si>
  <si>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</si>
  <si>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</si>
  <si>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</si>
  <si>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</si>
  <si>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</si>
  <si>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</si>
  <si>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</si>
  <si>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</si>
  <si>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</si>
  <si>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</si>
  <si>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</si>
  <si>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</si>
  <si>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</si>
  <si>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</si>
  <si>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</si>
  <si>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</si>
  <si>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</si>
  <si>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</si>
  <si>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</si>
  <si>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</si>
  <si>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</si>
  <si>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</si>
  <si>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</si>
  <si>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</si>
  <si>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</si>
  <si>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</si>
  <si>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</si>
  <si>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</si>
  <si>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</si>
  <si>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</si>
  <si>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</si>
  <si>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</si>
  <si>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</si>
  <si>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</si>
  <si>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</si>
  <si>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</si>
  <si>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</si>
  <si>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</si>
  <si>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</si>
  <si>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</si>
  <si>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</si>
  <si>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</si>
  <si>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</si>
  <si>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</si>
  <si>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</si>
  <si>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</si>
  <si>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</si>
  <si>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</si>
  <si>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</si>
  <si>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</si>
  <si>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</si>
  <si>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</si>
  <si>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</si>
  <si>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</si>
  <si>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</si>
  <si>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</si>
  <si>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</si>
  <si>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</si>
  <si>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</si>
  <si>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</si>
  <si>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</si>
  <si>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</si>
  <si>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</si>
  <si>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</si>
  <si>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</si>
  <si>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</si>
  <si>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</si>
  <si>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</si>
  <si>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</si>
  <si>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</si>
  <si>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</si>
  <si>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</si>
  <si>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</si>
  <si>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</si>
  <si>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</si>
  <si>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</si>
  <si>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</si>
  <si>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</si>
  <si>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</si>
  <si>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</si>
  <si>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</si>
  <si>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</si>
  <si>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</si>
  <si>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</si>
  <si>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</si>
  <si>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</si>
  <si>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</si>
  <si>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</si>
  <si>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</si>
  <si>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</si>
  <si>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</si>
  <si>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</si>
  <si>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</si>
  <si>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</si>
  <si>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</si>
  <si>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</si>
  <si>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</si>
  <si>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</si>
  <si>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</si>
  <si>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</si>
  <si>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</si>
  <si>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</si>
  <si>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</si>
  <si>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</si>
  <si>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</si>
  <si>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</si>
  <si>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</si>
  <si>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</si>
  <si>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</si>
  <si>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</si>
  <si>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</si>
  <si>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</si>
  <si>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</si>
  <si>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</si>
  <si>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</si>
  <si>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</si>
  <si>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</si>
  <si>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</si>
  <si>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</si>
  <si>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</si>
  <si>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</si>
  <si>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</si>
  <si>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</si>
  <si>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</si>
  <si>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</si>
  <si>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</si>
  <si>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</si>
  <si>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</si>
  <si>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</si>
  <si>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</si>
  <si>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</si>
  <si>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</si>
  <si>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</si>
  <si>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</si>
  <si>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</si>
  <si>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</si>
  <si>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</si>
  <si>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</si>
  <si>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</si>
  <si>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</si>
  <si>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</si>
  <si>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</si>
  <si>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</si>
  <si>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</si>
  <si>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</si>
  <si>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</si>
  <si>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</si>
  <si>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</si>
  <si>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</si>
  <si>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</si>
  <si>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</si>
  <si>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</si>
  <si>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</si>
  <si>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</si>
  <si>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</si>
  <si>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</si>
  <si>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</si>
  <si>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</si>
  <si>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</si>
  <si>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</si>
  <si>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</si>
  <si>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</si>
  <si>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</si>
  <si>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</si>
  <si>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</si>
  <si>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</si>
  <si>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</si>
  <si>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</si>
  <si>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</si>
  <si>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</si>
  <si>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</si>
  <si>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</si>
  <si>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</si>
  <si>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</si>
  <si>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</si>
  <si>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</si>
  <si>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</si>
  <si>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</si>
  <si>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</si>
  <si>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</si>
  <si>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</si>
  <si>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</si>
  <si>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</si>
  <si>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</si>
  <si>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</si>
  <si>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</si>
  <si>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</si>
  <si>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</si>
  <si>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</si>
  <si>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</si>
  <si>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</si>
  <si>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</si>
  <si>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</si>
  <si>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</si>
  <si>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</si>
  <si>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</si>
  <si>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</si>
  <si>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</si>
  <si>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</si>
  <si>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</si>
  <si>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</si>
  <si>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</si>
  <si>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</si>
  <si>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</si>
  <si>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</si>
  <si>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</si>
  <si>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</si>
  <si>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</si>
  <si>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</si>
  <si>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</si>
  <si>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</si>
  <si>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</si>
  <si>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</si>
  <si>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</si>
  <si>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</si>
  <si>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</si>
  <si>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</si>
  <si>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</si>
  <si>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</si>
  <si>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</si>
  <si>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</si>
  <si>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</si>
  <si>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</si>
  <si>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</si>
  <si>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</si>
  <si>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</si>
  <si>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</si>
  <si>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</si>
  <si>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</si>
  <si>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</si>
  <si>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</si>
  <si>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</si>
  <si>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</si>
  <si>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</si>
  <si>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</si>
  <si>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</si>
  <si>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</si>
  <si>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</si>
  <si>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</si>
  <si>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</si>
  <si>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</si>
  <si>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</si>
  <si>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</si>
  <si>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</si>
  <si>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</si>
  <si>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</si>
  <si>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</si>
  <si>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</si>
  <si>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</si>
  <si>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</si>
  <si>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</si>
  <si>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</si>
  <si>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</si>
  <si>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</si>
  <si>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</si>
  <si>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</si>
  <si>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</si>
  <si>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</si>
  <si>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</si>
  <si>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</si>
  <si>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</si>
  <si>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</si>
  <si>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</si>
  <si>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</si>
  <si>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</si>
  <si>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</si>
  <si>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</si>
  <si>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</si>
  <si>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</si>
  <si>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</si>
  <si>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</si>
  <si>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</si>
  <si>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</si>
  <si>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</si>
  <si>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</si>
  <si>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</si>
  <si>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</si>
  <si>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</si>
  <si>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</si>
  <si>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</si>
  <si>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</si>
  <si>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</si>
  <si>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</si>
  <si>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</si>
  <si>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</si>
  <si>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</si>
  <si>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</si>
  <si>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</si>
  <si>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</si>
  <si>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</si>
  <si>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</si>
  <si>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</si>
  <si>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</si>
  <si>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</si>
  <si>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</si>
  <si>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</si>
  <si>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</si>
  <si>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</si>
  <si>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</si>
  <si>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</si>
  <si>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</si>
  <si>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</si>
  <si>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</si>
  <si>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</si>
  <si>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</si>
  <si>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</si>
  <si>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</si>
  <si>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</si>
  <si>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</si>
  <si>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</si>
  <si>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</si>
  <si>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</si>
  <si>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</si>
  <si>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</si>
  <si>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</si>
  <si>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</si>
  <si>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</si>
  <si>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</si>
  <si>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</si>
  <si>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</si>
  <si>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</si>
  <si>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</si>
  <si>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</si>
  <si>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</si>
  <si>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</si>
  <si>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</si>
  <si>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</si>
  <si>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</si>
  <si>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</si>
  <si>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</si>
  <si>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</si>
  <si>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</si>
  <si>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</si>
  <si>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</si>
  <si>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</si>
  <si>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</si>
  <si>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</si>
  <si>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</si>
  <si>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</si>
  <si>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</si>
  <si>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</si>
  <si>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</si>
  <si>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</si>
  <si>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</si>
  <si>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</si>
  <si>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</si>
  <si>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</si>
  <si>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</si>
  <si>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</si>
  <si>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</si>
  <si>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</si>
  <si>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</si>
  <si>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</si>
  <si>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</si>
  <si>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</si>
  <si>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</si>
  <si>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</si>
  <si>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</si>
  <si>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</si>
  <si>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</si>
  <si>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</si>
  <si>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</si>
  <si>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</si>
  <si>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</si>
  <si>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</si>
  <si>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</si>
  <si>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</si>
  <si>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</si>
  <si>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</si>
  <si>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</si>
  <si>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</si>
  <si>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</si>
  <si>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</si>
  <si>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</si>
  <si>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</si>
  <si>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</si>
  <si>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</si>
  <si>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</si>
  <si>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</si>
  <si>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</si>
  <si>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</si>
  <si>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</si>
  <si>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</si>
  <si>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</si>
  <si>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</si>
  <si>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</si>
  <si>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</si>
  <si>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</si>
  <si>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</si>
  <si>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</si>
  <si>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</si>
  <si>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</si>
  <si>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</si>
  <si>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</si>
  <si>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</si>
  <si>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</si>
  <si>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</si>
  <si>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</si>
  <si>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</si>
  <si>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</si>
  <si>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</si>
  <si>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</si>
  <si>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</si>
  <si>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</si>
  <si>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</si>
  <si>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</si>
  <si>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</si>
  <si>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</si>
  <si>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</si>
  <si>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</si>
  <si>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</si>
  <si>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</si>
  <si>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</si>
  <si>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</si>
  <si>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</si>
  <si>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</si>
  <si>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</si>
  <si>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</si>
  <si>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</si>
  <si>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</si>
  <si>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</si>
  <si>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</si>
  <si>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</si>
  <si>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</si>
  <si>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</si>
  <si>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</si>
  <si>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</si>
  <si>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</si>
  <si>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</si>
  <si>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</si>
  <si>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</si>
  <si>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</si>
  <si>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</si>
  <si>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</si>
  <si>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</si>
  <si>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</si>
  <si>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</si>
  <si>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</si>
  <si>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</si>
  <si>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</si>
  <si>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</si>
  <si>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</si>
  <si>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</si>
  <si>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</si>
  <si>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</si>
  <si>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</si>
  <si>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</si>
  <si>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</si>
  <si>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</si>
  <si>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</si>
  <si>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</si>
  <si>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</si>
  <si>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</si>
  <si>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</si>
  <si>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</si>
  <si>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</si>
  <si>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</si>
  <si>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</si>
  <si>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</si>
  <si>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</si>
  <si>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</si>
  <si>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</si>
  <si>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</si>
  <si>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</si>
  <si>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</si>
  <si>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</si>
  <si>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</si>
  <si>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</si>
  <si>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</si>
  <si>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</si>
  <si>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</si>
  <si>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</si>
  <si>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</si>
  <si>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</si>
  <si>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</si>
  <si>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</si>
  <si>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</si>
  <si>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</si>
  <si>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</si>
  <si>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</si>
  <si>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</si>
  <si>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</si>
  <si>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</si>
  <si>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</si>
  <si>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</si>
  <si>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</si>
  <si>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</si>
  <si>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</si>
  <si>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</si>
  <si>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</si>
  <si>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</si>
  <si>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</si>
  <si>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</si>
  <si>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</si>
  <si>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</si>
  <si>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</si>
  <si>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</si>
  <si>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</si>
  <si>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</si>
  <si>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</si>
  <si>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</si>
  <si>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</si>
  <si>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</si>
  <si>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</si>
  <si>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</si>
  <si>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</si>
  <si>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</si>
  <si>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</si>
  <si>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</si>
  <si>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</si>
  <si>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</si>
  <si>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</si>
  <si>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</si>
  <si>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</si>
  <si>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</si>
  <si>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</si>
  <si>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</si>
  <si>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</si>
  <si>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</si>
  <si>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</si>
  <si>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</si>
  <si>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</si>
  <si>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</si>
  <si>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</si>
  <si>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</si>
  <si>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</si>
  <si>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</si>
  <si>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</si>
  <si>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</si>
  <si>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</si>
  <si>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</si>
  <si>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</si>
  <si>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</si>
  <si>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</si>
  <si>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</si>
  <si>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</si>
  <si>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</si>
  <si>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</si>
  <si>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</si>
  <si>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</si>
  <si>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</si>
  <si>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</si>
  <si>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</si>
  <si>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</si>
  <si>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</si>
  <si>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</si>
  <si>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</si>
  <si>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</si>
  <si>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</si>
  <si>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</si>
  <si>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</si>
  <si>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</si>
  <si>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</si>
  <si>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</si>
  <si>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</si>
  <si>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</si>
  <si>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</si>
  <si>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</si>
  <si>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</si>
  <si>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</si>
  <si>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</si>
  <si>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</si>
  <si>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</si>
  <si>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</si>
  <si>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</si>
  <si>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</si>
  <si>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</si>
  <si>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</si>
  <si>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</si>
  <si>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</si>
  <si>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</si>
  <si>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</si>
  <si>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</si>
  <si>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</si>
  <si>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</si>
  <si>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</si>
  <si>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</si>
  <si>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</si>
  <si>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</si>
  <si>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</si>
  <si>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</si>
  <si>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</si>
  <si>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</si>
  <si>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</si>
  <si>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</si>
  <si>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</si>
  <si>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</si>
  <si>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</si>
  <si>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</si>
  <si>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</si>
  <si>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</si>
  <si>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</si>
  <si>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</si>
  <si>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</si>
  <si>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</si>
  <si>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</si>
  <si>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</si>
  <si>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</si>
  <si>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</si>
  <si>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</si>
  <si>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</si>
  <si>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</si>
  <si>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</si>
  <si>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</si>
  <si>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</si>
  <si>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</si>
  <si>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</si>
  <si>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</si>
  <si>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</si>
  <si>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</si>
  <si>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</si>
  <si>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</si>
  <si>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</si>
  <si>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</si>
  <si>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</si>
  <si>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</si>
  <si>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</si>
  <si>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</si>
  <si>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</si>
  <si>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</si>
  <si>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</si>
  <si>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</si>
  <si>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</si>
  <si>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</si>
  <si>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</si>
  <si>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</si>
  <si>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</si>
  <si>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</si>
  <si>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</si>
  <si>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</si>
  <si>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</si>
  <si>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</si>
  <si>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</si>
  <si>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</si>
  <si>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</si>
  <si>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</si>
  <si>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</si>
  <si>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</si>
  <si>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</si>
  <si>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</si>
  <si>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</si>
  <si>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</si>
  <si>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</si>
  <si>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</si>
  <si>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</si>
  <si>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</si>
  <si>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</si>
  <si>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</si>
  <si>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</si>
  <si>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</si>
  <si>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</si>
  <si>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</si>
  <si>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</si>
  <si>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</si>
  <si>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</si>
  <si>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</si>
  <si>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</si>
  <si>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</si>
  <si>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</si>
  <si>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</si>
  <si>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</si>
  <si>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</si>
  <si>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</si>
  <si>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</si>
  <si>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</si>
  <si>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</si>
  <si>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</si>
  <si>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</si>
  <si>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</si>
  <si>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</si>
  <si>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</si>
  <si>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</si>
  <si>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</si>
  <si>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</si>
  <si>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</si>
  <si>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</si>
  <si>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</si>
  <si>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</si>
  <si>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</si>
  <si>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</si>
  <si>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</si>
  <si>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</si>
  <si>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</si>
  <si>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</si>
  <si>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</si>
  <si>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</si>
  <si>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</si>
  <si>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</si>
  <si>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</si>
  <si>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</si>
  <si>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</si>
  <si>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</si>
  <si>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</si>
  <si>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</si>
  <si>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</si>
  <si>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</si>
  <si>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</si>
  <si>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</si>
  <si>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</si>
  <si>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</si>
  <si>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</si>
  <si>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</si>
  <si>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</si>
  <si>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</si>
  <si>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</si>
  <si>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</si>
  <si>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</si>
  <si>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</si>
  <si>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</si>
  <si>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</si>
  <si>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</si>
  <si>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</si>
  <si>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</si>
  <si>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</si>
  <si>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</si>
  <si>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</si>
  <si>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</si>
  <si>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</si>
  <si>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</si>
  <si>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</si>
  <si>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</si>
  <si>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</si>
  <si>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</si>
  <si>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</si>
  <si>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</si>
  <si>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</si>
  <si>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</si>
  <si>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</si>
  <si>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</si>
  <si>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</si>
  <si>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</si>
  <si>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</si>
  <si>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</si>
  <si>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</si>
  <si>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</si>
  <si>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</si>
  <si>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</si>
  <si>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</si>
  <si>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</si>
  <si>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</si>
  <si>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</si>
  <si>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</si>
  <si>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</si>
  <si>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</si>
  <si>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</si>
  <si>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</si>
  <si>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</si>
  <si>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</si>
  <si>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</si>
  <si>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</si>
  <si>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</si>
  <si>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</si>
  <si>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</si>
  <si>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</si>
  <si>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</si>
  <si>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</si>
  <si>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</si>
  <si>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</si>
  <si>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</si>
  <si>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</si>
  <si>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</si>
  <si>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</si>
  <si>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</si>
  <si>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</si>
  <si>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</si>
  <si>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</si>
  <si>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</si>
  <si>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</si>
  <si>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</si>
  <si>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</si>
  <si>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</si>
  <si>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</si>
  <si>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</si>
  <si>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</si>
  <si>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</si>
  <si>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</si>
  <si>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</si>
  <si>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</si>
  <si>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</si>
  <si>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</si>
  <si>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</si>
  <si>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</si>
  <si>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</si>
  <si>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</si>
  <si>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</si>
  <si>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</si>
  <si>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</si>
  <si>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</si>
  <si>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</si>
  <si>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</si>
  <si>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</si>
  <si>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</si>
  <si>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</si>
  <si>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</si>
  <si>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</si>
  <si>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</si>
  <si>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</si>
  <si>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</si>
  <si>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</si>
  <si>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</si>
  <si>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</si>
  <si>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</si>
  <si>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</si>
  <si>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</si>
  <si>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</si>
  <si>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</si>
  <si>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</si>
  <si>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</si>
  <si>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</si>
  <si>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</si>
  <si>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</si>
  <si>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</si>
  <si>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</si>
  <si>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</si>
  <si>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</si>
  <si>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</si>
  <si>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</si>
  <si>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</si>
  <si>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</si>
  <si>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</si>
  <si>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</si>
  <si>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</si>
  <si>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</si>
  <si>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</si>
  <si>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</si>
  <si>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</si>
  <si>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</si>
  <si>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</si>
  <si>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</si>
  <si>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</si>
  <si>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</si>
  <si>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</si>
  <si>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</si>
  <si>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</si>
  <si>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</si>
  <si>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</si>
  <si>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</si>
  <si>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</si>
  <si>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</si>
  <si>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</si>
  <si>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</si>
  <si>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</si>
  <si>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</si>
  <si>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</si>
  <si>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</si>
  <si>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</si>
  <si>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</si>
  <si>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</si>
  <si>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</si>
  <si>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</si>
  <si>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</si>
  <si>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</si>
  <si>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</si>
  <si>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</si>
  <si>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</si>
  <si>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</si>
  <si>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</si>
  <si>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</si>
  <si>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</si>
  <si>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</si>
  <si>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</si>
  <si>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</si>
  <si>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</si>
  <si>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</si>
  <si>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</si>
  <si>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</si>
  <si>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</si>
  <si>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</si>
  <si>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</si>
  <si>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</si>
  <si>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</si>
  <si>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</si>
  <si>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</si>
  <si>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</si>
  <si>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</si>
  <si>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</si>
  <si>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</si>
  <si>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</si>
  <si>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</si>
  <si>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</si>
  <si>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</si>
  <si>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</si>
  <si>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</si>
  <si>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</si>
  <si>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</si>
  <si>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</si>
  <si>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</si>
  <si>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</si>
  <si>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</si>
  <si>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</si>
  <si>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</si>
  <si>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</si>
  <si>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</si>
  <si>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</si>
  <si>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</si>
  <si>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</si>
  <si>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</si>
  <si>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</si>
  <si>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</si>
  <si>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</si>
  <si>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</si>
  <si>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</si>
  <si>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</si>
  <si>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</si>
  <si>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</si>
  <si>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</si>
  <si>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</si>
  <si>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</si>
  <si>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</si>
  <si>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</si>
  <si>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</si>
  <si>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</si>
  <si>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</si>
  <si>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</si>
  <si>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</si>
  <si>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</si>
  <si>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</si>
  <si>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</si>
  <si>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</si>
  <si>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</si>
  <si>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</si>
  <si>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</si>
  <si>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</si>
  <si>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</si>
  <si>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</si>
  <si>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</si>
  <si>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</si>
  <si>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</si>
  <si>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</si>
  <si>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</si>
  <si>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</si>
  <si>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</si>
  <si>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</si>
  <si>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</si>
  <si>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</si>
  <si>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</si>
  <si>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</si>
  <si>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</si>
  <si>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</si>
  <si>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</si>
  <si>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</si>
  <si>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</si>
  <si>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</si>
  <si>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</si>
  <si>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</si>
  <si>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</si>
  <si>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</si>
  <si>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</si>
  <si>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</si>
  <si>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</si>
  <si>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</si>
  <si>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</si>
  <si>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</si>
  <si>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</si>
  <si>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</si>
  <si>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</si>
  <si>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</si>
  <si>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</si>
  <si>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</si>
  <si>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</si>
  <si>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</si>
  <si>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</si>
  <si>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</si>
  <si>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</si>
  <si>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</si>
  <si>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</si>
  <si>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</si>
  <si>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</si>
  <si>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</si>
  <si>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</si>
  <si>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</si>
  <si>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</si>
  <si>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</si>
  <si>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</si>
  <si>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</si>
  <si>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</si>
  <si>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</si>
  <si>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</si>
  <si>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</si>
  <si>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</si>
  <si>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</si>
  <si>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</si>
  <si>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</si>
  <si>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</si>
  <si>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</si>
  <si>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</si>
  <si>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</si>
  <si>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</si>
  <si>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</si>
  <si>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</si>
  <si>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</si>
  <si>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</si>
  <si>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</si>
  <si>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</si>
  <si>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</si>
  <si>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</si>
  <si>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</si>
  <si>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</si>
  <si>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</si>
  <si>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</si>
  <si>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</si>
  <si>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</si>
  <si>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</si>
  <si>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</si>
  <si>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</si>
  <si>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</si>
  <si>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</si>
  <si>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</si>
  <si>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</si>
  <si>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</si>
  <si>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</si>
  <si>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</si>
  <si>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</si>
  <si>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</si>
  <si>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</si>
  <si>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</si>
  <si>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</si>
  <si>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</si>
  <si>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</si>
  <si>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</si>
  <si>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</si>
  <si>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</si>
  <si>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</si>
  <si>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</si>
  <si>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</si>
  <si>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</si>
  <si>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</si>
  <si>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</si>
  <si>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</si>
  <si>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</si>
  <si>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</si>
  <si>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</si>
  <si>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</si>
  <si>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</si>
  <si>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</si>
  <si>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</si>
  <si>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</si>
  <si>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</si>
  <si>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</si>
  <si>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</si>
  <si>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</si>
  <si>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</si>
  <si>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</si>
  <si>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</si>
  <si>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</si>
  <si>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</si>
  <si>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</si>
  <si>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</si>
  <si>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</si>
  <si>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</si>
  <si>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</si>
  <si>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</si>
  <si>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</si>
  <si>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</si>
  <si>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</si>
  <si>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</si>
  <si>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</si>
  <si>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</si>
  <si>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</si>
  <si>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</si>
  <si>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</si>
  <si>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</si>
  <si>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</si>
  <si>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</si>
  <si>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</si>
  <si>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</si>
  <si>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</si>
  <si>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</si>
  <si>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</si>
  <si>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</si>
  <si>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</si>
  <si>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</si>
  <si>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</si>
  <si>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</si>
  <si>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</si>
  <si>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</si>
  <si>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</si>
  <si>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</si>
  <si>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</si>
  <si>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</si>
  <si>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</si>
  <si>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</si>
  <si>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</si>
  <si>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</si>
  <si>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</si>
  <si>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</si>
  <si>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</si>
  <si>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</si>
  <si>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</si>
  <si>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</si>
  <si>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</si>
  <si>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</si>
  <si>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</si>
  <si>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</si>
  <si>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</si>
  <si>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</si>
  <si>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</si>
  <si>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</si>
  <si>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</si>
  <si>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</si>
  <si>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</si>
  <si>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</si>
  <si>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</si>
  <si>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</si>
  <si>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</si>
  <si>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</si>
  <si>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</si>
  <si>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</si>
  <si>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</si>
  <si>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</si>
  <si>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</si>
  <si>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</si>
  <si>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</si>
  <si>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</si>
  <si>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</si>
  <si>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</si>
  <si>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</si>
  <si>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</si>
  <si>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</si>
  <si>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</si>
  <si>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</si>
  <si>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</si>
  <si>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</si>
  <si>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</si>
  <si>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</si>
  <si>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</si>
  <si>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</si>
  <si>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</si>
  <si>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</si>
  <si>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</si>
  <si>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</si>
  <si>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</si>
  <si>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</si>
  <si>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</si>
  <si>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</si>
  <si>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</si>
  <si>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</si>
  <si>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</si>
  <si>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</si>
  <si>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</si>
  <si>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</si>
  <si>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</si>
  <si>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</si>
  <si>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</si>
  <si>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</si>
  <si>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</si>
  <si>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</si>
  <si>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</si>
  <si>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</si>
  <si>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</si>
  <si>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</si>
  <si>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</si>
  <si>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</si>
  <si>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</si>
  <si>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</si>
  <si>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</si>
  <si>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</si>
  <si>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</si>
  <si>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</si>
  <si>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</si>
  <si>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</si>
  <si>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</si>
  <si>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</si>
  <si>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</si>
  <si>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</si>
  <si>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</si>
  <si>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</si>
  <si>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</si>
  <si>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</si>
  <si>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</si>
  <si>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</si>
  <si>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</si>
  <si>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</si>
  <si>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</si>
  <si>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</si>
  <si>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</si>
  <si>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</si>
  <si>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</si>
  <si>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</si>
  <si>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</si>
  <si>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</si>
  <si>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</si>
  <si>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</si>
  <si>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</si>
  <si>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</si>
  <si>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</si>
  <si>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</si>
  <si>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</si>
  <si>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</si>
  <si>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</si>
  <si>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</si>
  <si>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</si>
  <si>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</si>
  <si>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</si>
  <si>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</si>
  <si>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</si>
  <si>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</si>
  <si>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</si>
  <si>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</si>
  <si>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</si>
  <si>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</si>
  <si>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</si>
  <si>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</si>
  <si>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</si>
  <si>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</si>
  <si>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</si>
  <si>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</si>
  <si>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</si>
  <si>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</si>
  <si>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</si>
  <si>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</si>
  <si>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</si>
  <si>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</si>
  <si>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</si>
  <si>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</si>
  <si>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</si>
  <si>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</si>
  <si>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</si>
  <si>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</si>
  <si>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</si>
  <si>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</si>
  <si>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</si>
  <si>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</si>
  <si>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</si>
  <si>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</si>
  <si>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</si>
  <si>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</si>
  <si>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</si>
  <si>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</si>
  <si>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</si>
  <si>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</si>
  <si>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</si>
  <si>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</si>
  <si>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</si>
  <si>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</si>
  <si>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</si>
  <si>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</si>
  <si>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</si>
  <si>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</si>
  <si>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</si>
  <si>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</si>
  <si>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</si>
  <si>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</si>
  <si>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</si>
  <si>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</si>
  <si>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</si>
  <si>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</si>
  <si>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</si>
  <si>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</si>
  <si>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</si>
  <si>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</si>
  <si>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</si>
  <si>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</si>
  <si>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</si>
  <si>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</si>
  <si>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</si>
  <si>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</si>
  <si>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</si>
  <si>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</si>
  <si>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</si>
  <si>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</si>
  <si>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</si>
  <si>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</si>
  <si>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</si>
  <si>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</si>
  <si>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</si>
  <si>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</si>
  <si>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</si>
  <si>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</si>
  <si>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</si>
  <si>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</si>
  <si>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</si>
  <si>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</si>
  <si>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</si>
  <si>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</si>
  <si>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</si>
  <si>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</si>
  <si>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</si>
  <si>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</si>
  <si>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</si>
  <si>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</si>
  <si>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</si>
  <si>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</si>
  <si>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</si>
  <si>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</si>
  <si>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</si>
  <si>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</si>
  <si>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</si>
  <si>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</si>
  <si>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</si>
  <si>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</si>
  <si>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</si>
  <si>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</si>
  <si>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</si>
  <si>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</si>
  <si>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</si>
  <si>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</si>
  <si>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</si>
  <si>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</si>
  <si>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</si>
  <si>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</si>
  <si>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</si>
  <si>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</si>
  <si>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</si>
  <si>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</si>
  <si>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</si>
  <si>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</si>
  <si>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</si>
  <si>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</si>
  <si>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</si>
  <si>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</si>
  <si>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</si>
  <si>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</si>
  <si>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</si>
  <si>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</si>
  <si>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</si>
  <si>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</si>
  <si>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</si>
  <si>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</si>
  <si>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</si>
  <si>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</si>
  <si>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</si>
  <si>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</si>
  <si>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</si>
  <si>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</si>
  <si>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</si>
  <si>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</si>
  <si>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</si>
  <si>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</si>
  <si>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</si>
  <si>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</si>
  <si>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</si>
  <si>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</si>
  <si>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</si>
  <si>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</si>
  <si>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</si>
  <si>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</si>
  <si>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</si>
  <si>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</si>
  <si>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</si>
  <si>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</si>
  <si>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</si>
  <si>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</si>
  <si>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</si>
  <si>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</si>
  <si>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</si>
  <si>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</si>
  <si>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</si>
  <si>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</si>
  <si>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</si>
  <si>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</si>
  <si>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</si>
  <si>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</si>
  <si>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</si>
  <si>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</si>
  <si>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</si>
  <si>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</si>
  <si>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</si>
  <si>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</si>
  <si>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</si>
  <si>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</si>
  <si>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</si>
  <si>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</si>
  <si>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</si>
  <si>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</si>
  <si>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</si>
  <si>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</si>
  <si>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</si>
  <si>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</si>
  <si>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</si>
  <si>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</si>
  <si>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</si>
  <si>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</si>
  <si>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</si>
  <si>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</si>
  <si>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</si>
  <si>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</si>
  <si>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</si>
  <si>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</si>
  <si>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</si>
  <si>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</si>
  <si>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</si>
  <si>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</si>
  <si>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</si>
  <si>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</si>
  <si>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</si>
  <si>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</si>
  <si>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</si>
  <si>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</si>
  <si>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</si>
  <si>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</si>
  <si>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</si>
  <si>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</si>
  <si>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</si>
  <si>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</si>
  <si>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</si>
  <si>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</si>
  <si>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</si>
  <si>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</si>
  <si>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</si>
  <si>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</si>
  <si>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</si>
  <si>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</si>
  <si>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</si>
  <si>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</si>
  <si>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</si>
  <si>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</si>
  <si>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</si>
  <si>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</si>
  <si>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</si>
  <si>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</si>
  <si>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</si>
  <si>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</si>
  <si>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</si>
  <si>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</si>
  <si>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</si>
  <si>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</si>
  <si>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</si>
  <si>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</si>
  <si>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</si>
  <si>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</si>
  <si>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</si>
  <si>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</si>
  <si>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</si>
  <si>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</si>
  <si>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</si>
  <si>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</si>
  <si>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</si>
  <si>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</si>
  <si>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</si>
  <si>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</si>
  <si>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</si>
  <si>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</si>
  <si>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</si>
  <si>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</si>
  <si>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</si>
  <si>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</si>
  <si>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</si>
  <si>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</si>
  <si>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</si>
  <si>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</si>
  <si>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</si>
  <si>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</si>
  <si>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</si>
  <si>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</si>
  <si>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</si>
  <si>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</si>
  <si>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</si>
  <si>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</si>
  <si>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</si>
  <si>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</si>
  <si>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</si>
  <si>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</si>
  <si>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</si>
  <si>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</si>
  <si>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</si>
  <si>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</si>
  <si>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</si>
  <si>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</si>
  <si>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</si>
  <si>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</si>
  <si>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</si>
  <si>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</si>
  <si>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</si>
  <si>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</si>
  <si>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</si>
  <si>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</si>
  <si>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</si>
  <si>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</si>
  <si>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</si>
  <si>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</si>
  <si>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</si>
  <si>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</si>
  <si>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</si>
  <si>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</si>
  <si>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</si>
  <si>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</si>
  <si>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</si>
  <si>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</si>
  <si>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</si>
  <si>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</si>
  <si>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</si>
  <si>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</si>
  <si>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</si>
  <si>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</si>
  <si>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</si>
  <si>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</si>
  <si>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</si>
  <si>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</si>
  <si>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</si>
  <si>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</si>
  <si>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</si>
  <si>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</si>
  <si>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</si>
  <si>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</si>
  <si>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</si>
  <si>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</si>
  <si>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</si>
  <si>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</si>
  <si>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</si>
  <si>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</si>
  <si>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</si>
  <si>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</si>
  <si>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</si>
  <si>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</si>
  <si>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</si>
  <si>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</si>
  <si>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</si>
  <si>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</si>
  <si>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</si>
  <si>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</si>
  <si>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</si>
  <si>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</si>
  <si>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</si>
  <si>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</si>
  <si>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</si>
  <si>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</si>
  <si>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</si>
  <si>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</si>
  <si>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</si>
  <si>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</si>
  <si>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</si>
  <si>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</si>
  <si>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</si>
  <si>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</si>
  <si>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</si>
  <si>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</si>
  <si>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</si>
  <si>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</si>
  <si>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</si>
  <si>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</si>
  <si>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</si>
  <si>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</si>
  <si>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</si>
  <si>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</si>
  <si>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</si>
  <si>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</si>
  <si>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</si>
  <si>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</si>
  <si>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</si>
  <si>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</si>
  <si>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</si>
  <si>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</si>
  <si>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</si>
  <si>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</si>
  <si>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</si>
  <si>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</si>
  <si>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</si>
  <si>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</si>
  <si>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</si>
  <si>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</si>
  <si>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</si>
  <si>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</si>
  <si>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</si>
  <si>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</si>
  <si>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</si>
  <si>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</si>
  <si>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</si>
  <si>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</si>
  <si>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</si>
  <si>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</si>
  <si>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</si>
  <si>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</si>
  <si>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</si>
  <si>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</si>
  <si>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</si>
  <si>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</si>
  <si>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</si>
  <si>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</si>
  <si>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</si>
  <si>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</si>
  <si>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</si>
  <si>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</si>
  <si>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</si>
  <si>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</si>
  <si>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</si>
  <si>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</si>
  <si>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</si>
  <si>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</si>
  <si>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</si>
  <si>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</si>
  <si>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</si>
  <si>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</si>
  <si>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</si>
  <si>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</si>
  <si>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</si>
  <si>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</si>
  <si>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</si>
  <si>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</si>
  <si>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</si>
  <si>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</si>
  <si>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</si>
  <si>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</si>
  <si>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</si>
  <si>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</si>
  <si>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</si>
  <si>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</si>
  <si>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</si>
  <si>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</si>
  <si>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</si>
  <si>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</si>
  <si>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</si>
  <si>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</si>
  <si>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</si>
  <si>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</si>
  <si>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</si>
  <si>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</si>
  <si>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</si>
  <si>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</si>
  <si>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</si>
  <si>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</si>
  <si>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</si>
  <si>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</si>
  <si>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</si>
  <si>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</si>
  <si>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</si>
  <si>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</si>
  <si>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</si>
  <si>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</si>
  <si>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</si>
  <si>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</si>
  <si>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</si>
  <si>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</si>
  <si>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</si>
  <si>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</si>
  <si>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</si>
  <si>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</si>
  <si>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</si>
  <si>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</si>
  <si>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</si>
  <si>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</si>
  <si>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</si>
  <si>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</si>
  <si>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</si>
  <si>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</si>
  <si>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</si>
  <si>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</si>
  <si>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</si>
  <si>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</si>
  <si>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</si>
  <si>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</si>
  <si>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</si>
  <si>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</si>
  <si>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</si>
  <si>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</si>
  <si>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</si>
  <si>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</si>
  <si>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</si>
  <si>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</si>
  <si>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</si>
  <si>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</si>
  <si>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</si>
  <si>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</si>
  <si>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</si>
  <si>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</si>
  <si>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</si>
  <si>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</si>
  <si>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</si>
  <si>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</si>
  <si>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</si>
  <si>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</si>
  <si>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</si>
  <si>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</si>
  <si>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</si>
  <si>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</si>
  <si>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</si>
  <si>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</si>
  <si>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</si>
  <si>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</si>
  <si>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</si>
  <si>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</si>
  <si>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</si>
  <si>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</si>
  <si>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</si>
  <si>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</si>
  <si>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</si>
  <si>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</si>
  <si>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</si>
  <si>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</si>
  <si>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</si>
  <si>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</si>
  <si>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</si>
  <si>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</si>
  <si>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</si>
  <si>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</si>
  <si>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</si>
  <si>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</si>
  <si>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</si>
  <si>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</si>
  <si>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</si>
  <si>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</si>
  <si>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</si>
  <si>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</si>
  <si>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</si>
  <si>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</si>
  <si>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</si>
  <si>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</si>
  <si>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</si>
  <si>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</si>
  <si>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</si>
  <si>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</si>
  <si>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</si>
  <si>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</si>
  <si>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</si>
  <si>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</si>
  <si>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</si>
  <si>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</si>
  <si>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</si>
  <si>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</si>
  <si>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</si>
  <si>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</si>
  <si>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</si>
  <si>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</si>
  <si>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</si>
  <si>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</si>
  <si>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</si>
  <si>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</si>
  <si>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</si>
  <si>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</si>
  <si>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</si>
  <si>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</si>
  <si>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</si>
  <si>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</si>
  <si>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</si>
  <si>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</si>
  <si>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</si>
  <si>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</si>
  <si>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</si>
  <si>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</si>
  <si>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</si>
  <si>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</si>
  <si>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</si>
  <si>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</si>
  <si>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</si>
  <si>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</si>
  <si>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</si>
  <si>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</si>
  <si>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</si>
  <si>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</si>
  <si>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</si>
  <si>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</si>
  <si>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</si>
  <si>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</si>
  <si>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</si>
  <si>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</si>
  <si>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</si>
  <si>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</si>
  <si>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</si>
  <si>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</si>
  <si>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</si>
  <si>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</si>
  <si>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</si>
  <si>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</si>
  <si>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</si>
  <si>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</si>
  <si>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</si>
  <si>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</si>
  <si>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</si>
  <si>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</si>
  <si>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</si>
  <si>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</si>
  <si>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</si>
  <si>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</si>
  <si>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</si>
  <si>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</si>
  <si>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</si>
  <si>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</si>
  <si>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</si>
  <si>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</si>
  <si>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</si>
  <si>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</si>
  <si>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</si>
  <si>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</si>
  <si>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</si>
  <si>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</si>
  <si>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</si>
  <si>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</si>
  <si>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</si>
  <si>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</si>
  <si>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</si>
  <si>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</si>
  <si>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</si>
  <si>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</si>
  <si>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</si>
  <si>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</si>
  <si>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</si>
  <si>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</si>
  <si>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</si>
  <si>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</si>
  <si>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</si>
  <si>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</si>
  <si>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</si>
  <si>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</si>
  <si>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</si>
  <si>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</si>
  <si>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</si>
  <si>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</si>
  <si>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</si>
  <si>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</si>
  <si>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</si>
  <si>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</si>
  <si>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</si>
  <si>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</si>
  <si>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</si>
  <si>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</si>
  <si>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</si>
  <si>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</si>
  <si>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</si>
  <si>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</si>
  <si>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</si>
  <si>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</si>
  <si>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</si>
  <si>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</si>
  <si>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</si>
  <si>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</si>
  <si>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</si>
  <si>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</si>
  <si>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</si>
  <si>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</si>
  <si>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</si>
  <si>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</si>
  <si>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</si>
  <si>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</si>
  <si>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</si>
  <si>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</si>
  <si>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</si>
  <si>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</si>
  <si>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</si>
  <si>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</si>
  <si>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</si>
  <si>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</si>
  <si>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</si>
  <si>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</si>
  <si>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</si>
  <si>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</si>
  <si>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</si>
  <si>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</si>
  <si>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</si>
  <si>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</si>
  <si>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</si>
  <si>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</si>
  <si>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</si>
  <si>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</si>
  <si>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</si>
  <si>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</si>
  <si>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</si>
  <si>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</si>
  <si>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</si>
  <si>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</si>
  <si>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</si>
  <si>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</si>
  <si>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</si>
  <si>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</si>
  <si>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</si>
  <si>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</si>
  <si>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</si>
  <si>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</si>
  <si>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</si>
  <si>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</si>
  <si>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</si>
  <si>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</si>
  <si>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</si>
  <si>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</si>
  <si>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</si>
  <si>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</si>
  <si>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</si>
  <si>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</si>
  <si>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</si>
  <si>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</si>
  <si>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</si>
  <si>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</si>
  <si>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</si>
  <si>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</si>
  <si>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</si>
  <si>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</si>
  <si>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</si>
  <si>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</si>
  <si>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</si>
  <si>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</si>
  <si>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</si>
  <si>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</si>
  <si>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</si>
  <si>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</si>
  <si>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</si>
  <si>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</si>
  <si>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</si>
  <si>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</si>
  <si>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</si>
  <si>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</si>
  <si>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</si>
  <si>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</si>
  <si>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</si>
  <si>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</si>
  <si>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</si>
  <si>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</si>
  <si>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</si>
  <si>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</si>
  <si>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</si>
  <si>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</si>
  <si>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</si>
  <si>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</si>
  <si>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</si>
  <si>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</si>
  <si>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</si>
  <si>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</si>
  <si>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</si>
  <si>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</si>
  <si>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</si>
  <si>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</si>
  <si>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</si>
  <si>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</si>
  <si>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</si>
  <si>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</si>
  <si>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</si>
  <si>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</si>
  <si>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</si>
  <si>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</si>
  <si>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</si>
  <si>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</si>
  <si>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</si>
  <si>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</si>
  <si>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</si>
  <si>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</si>
  <si>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</si>
  <si>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</si>
  <si>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</si>
  <si>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</si>
  <si>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</si>
  <si>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</si>
  <si>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</si>
  <si>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</si>
  <si>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</si>
  <si>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</si>
  <si>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</si>
  <si>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</si>
  <si>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</si>
  <si>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</si>
  <si>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</si>
  <si>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</si>
  <si>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</si>
  <si>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</si>
  <si>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</si>
  <si>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</si>
  <si>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</si>
  <si>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</si>
  <si>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</si>
  <si>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</si>
  <si>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</si>
  <si>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</si>
  <si>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</si>
  <si>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</si>
  <si>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</si>
  <si>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</si>
  <si>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</si>
  <si>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</si>
  <si>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</si>
  <si>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</si>
  <si>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</si>
  <si>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</si>
  <si>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</si>
  <si>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</si>
  <si>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</si>
  <si>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</si>
  <si>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</si>
  <si>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</si>
  <si>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</si>
  <si>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</si>
  <si>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</si>
  <si>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</si>
  <si>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</si>
  <si>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</si>
  <si>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</si>
  <si>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</si>
  <si>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</si>
  <si>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</si>
  <si>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</si>
  <si>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</si>
  <si>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</si>
  <si>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</si>
  <si>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</si>
  <si>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</si>
  <si>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</si>
  <si>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</si>
  <si>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</si>
  <si>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</si>
  <si>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</si>
  <si>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</si>
  <si>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</si>
  <si>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</si>
  <si>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</si>
  <si>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</si>
  <si>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</si>
  <si>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</si>
  <si>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</si>
  <si>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</si>
  <si>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</si>
  <si>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</si>
  <si>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</si>
  <si>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</si>
  <si>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</si>
  <si>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</si>
  <si>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</si>
  <si>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</si>
  <si>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</si>
  <si>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</si>
  <si>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</si>
  <si>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</si>
  <si>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</si>
  <si>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</si>
  <si>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</si>
  <si>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</si>
  <si>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</si>
  <si>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</si>
  <si>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</si>
  <si>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</si>
  <si>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</si>
  <si>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</si>
  <si>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</si>
  <si>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</si>
  <si>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</si>
  <si>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</si>
  <si>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</si>
  <si>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</si>
  <si>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</si>
  <si>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</si>
  <si>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</si>
  <si>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</si>
  <si>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</si>
  <si>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</si>
  <si>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</si>
  <si>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</si>
  <si>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</si>
  <si>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</si>
  <si>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</si>
  <si>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</si>
  <si>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</si>
  <si>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</si>
  <si>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</si>
  <si>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</si>
  <si>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</si>
  <si>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</si>
  <si>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</si>
  <si>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</si>
  <si>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</si>
  <si>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</si>
  <si>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</si>
  <si>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</si>
  <si>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</si>
  <si>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</si>
  <si>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</si>
  <si>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</si>
  <si>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</si>
  <si>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</si>
  <si>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</si>
  <si>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</si>
  <si>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</si>
  <si>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</si>
  <si>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</si>
  <si>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</si>
  <si>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</si>
  <si>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</si>
  <si>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</si>
  <si>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</si>
  <si>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</si>
  <si>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</si>
  <si>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</si>
  <si>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</si>
  <si>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</si>
  <si>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</si>
  <si>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</si>
  <si>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</si>
  <si>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</si>
  <si>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</si>
  <si>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</si>
  <si>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</si>
  <si>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</si>
  <si>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</si>
  <si>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</si>
  <si>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</si>
  <si>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</si>
  <si>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</si>
  <si>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</si>
  <si>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</si>
  <si>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</si>
  <si>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</si>
  <si>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</si>
  <si>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</si>
  <si>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</si>
  <si>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</si>
  <si>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</si>
  <si>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</si>
  <si>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</si>
  <si>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</si>
  <si>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</si>
  <si>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</si>
  <si>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</si>
  <si>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</si>
  <si>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</si>
  <si>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</si>
  <si>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</si>
  <si>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</si>
  <si>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</si>
  <si>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</si>
  <si>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</si>
  <si>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</si>
  <si>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</si>
  <si>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</si>
  <si>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</si>
  <si>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</si>
  <si>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</si>
  <si>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</si>
  <si>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</si>
  <si>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</si>
  <si>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</si>
  <si>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</si>
  <si>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</si>
  <si>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</si>
  <si>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</si>
  <si>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</si>
  <si>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</si>
  <si>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</si>
  <si>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</si>
  <si>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</si>
  <si>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</si>
  <si>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</si>
  <si>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</si>
  <si>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</si>
  <si>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</si>
  <si>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</si>
  <si>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</si>
  <si>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</si>
  <si>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</si>
  <si>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</si>
  <si>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</si>
  <si>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</si>
  <si>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</si>
  <si>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</si>
  <si>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</si>
  <si>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</si>
  <si>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</si>
  <si>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</si>
  <si>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</si>
  <si>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</si>
  <si>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</si>
  <si>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</si>
  <si>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</si>
  <si>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</si>
  <si>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</si>
  <si>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</si>
  <si>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</si>
  <si>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</si>
  <si>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</si>
  <si>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</si>
  <si>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</si>
  <si>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</si>
  <si>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</si>
  <si>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</si>
  <si>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</si>
  <si>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</si>
  <si>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</si>
  <si>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</si>
  <si>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</si>
  <si>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</si>
  <si>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</si>
  <si>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</si>
  <si>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</si>
  <si>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</si>
  <si>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</si>
  <si>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</si>
  <si>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</si>
  <si>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</si>
  <si>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</si>
  <si>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</si>
  <si>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</si>
  <si>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</si>
  <si>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</si>
  <si>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</si>
  <si>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</si>
  <si>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</si>
  <si>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</si>
  <si>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</si>
  <si>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</si>
  <si>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</si>
  <si>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</si>
  <si>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</si>
  <si>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</si>
  <si>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</si>
  <si>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</si>
  <si>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</si>
  <si>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</si>
  <si>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</si>
  <si>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</si>
  <si>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</si>
  <si>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</si>
  <si>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</si>
  <si>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</si>
  <si>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</si>
  <si>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</si>
  <si>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</si>
  <si>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</si>
  <si>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</si>
  <si>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</si>
  <si>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</si>
  <si>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</si>
  <si>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</si>
  <si>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</si>
  <si>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</si>
  <si>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</si>
  <si>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</si>
  <si>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</si>
  <si>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</si>
  <si>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</si>
  <si>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</si>
  <si>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</si>
  <si>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</si>
  <si>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</si>
  <si>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</si>
  <si>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</si>
  <si>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</si>
  <si>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</si>
  <si>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</si>
  <si>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</si>
  <si>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</si>
  <si>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</si>
  <si>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</si>
  <si>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</si>
  <si>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</si>
  <si>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</si>
  <si>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</si>
  <si>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</si>
  <si>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</si>
  <si>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</si>
  <si>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</si>
  <si>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</si>
  <si>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</si>
  <si>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</si>
  <si>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</si>
  <si>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</si>
  <si>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</si>
  <si>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</si>
  <si>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</si>
  <si>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</si>
  <si>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</si>
  <si>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</si>
  <si>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</si>
  <si>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</si>
  <si>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</si>
  <si>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</si>
  <si>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</si>
  <si>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</si>
  <si>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</si>
  <si>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</si>
  <si>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</si>
  <si>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</si>
  <si>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</si>
  <si>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</si>
  <si>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</si>
  <si>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</si>
  <si>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</si>
  <si>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</si>
  <si>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</si>
  <si>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</si>
  <si>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</si>
  <si>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</si>
  <si>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</si>
  <si>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</si>
  <si>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</si>
  <si>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</si>
  <si>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</si>
  <si>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</si>
  <si>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</si>
  <si>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</si>
  <si>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</si>
  <si>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</si>
  <si>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</si>
  <si>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</si>
  <si>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</si>
  <si>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</si>
  <si>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</si>
  <si>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</si>
  <si>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</si>
  <si>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</si>
  <si>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</si>
  <si>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</si>
  <si>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</si>
  <si>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</si>
  <si>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</si>
  <si>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</si>
  <si>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</si>
  <si>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</si>
  <si>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</si>
  <si>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</si>
  <si>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</si>
  <si>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</si>
  <si>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</si>
  <si>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</si>
  <si>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</si>
  <si>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</si>
  <si>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</si>
  <si>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</si>
  <si>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</si>
  <si>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</si>
  <si>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</si>
  <si>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</si>
  <si>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</si>
  <si>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</si>
  <si>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</si>
  <si>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</si>
  <si>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</si>
  <si>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</si>
  <si>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</si>
  <si>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</si>
  <si>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</si>
  <si>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</si>
  <si>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</si>
  <si>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</si>
  <si>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</si>
  <si>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</si>
  <si>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</si>
  <si>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</si>
  <si>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</si>
  <si>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</si>
  <si>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</si>
  <si>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</si>
  <si>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</si>
  <si>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</si>
  <si>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</si>
  <si>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</si>
  <si>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</si>
  <si>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</si>
  <si>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</si>
  <si>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</si>
  <si>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</si>
  <si>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</si>
  <si>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</si>
  <si>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</si>
  <si>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</si>
  <si>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</si>
  <si>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</si>
  <si>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</si>
  <si>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</si>
  <si>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</si>
  <si>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</si>
  <si>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</si>
  <si>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</si>
  <si>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</si>
  <si>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</si>
  <si>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</si>
  <si>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</si>
  <si>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</si>
  <si>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</si>
  <si>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</si>
  <si>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</si>
  <si>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</si>
  <si>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</si>
  <si>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</si>
  <si>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</si>
  <si>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</si>
  <si>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</si>
  <si>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</si>
  <si>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</si>
  <si>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</si>
  <si>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</si>
  <si>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</si>
  <si>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</si>
  <si>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</si>
  <si>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</si>
  <si>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</si>
  <si>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</si>
  <si>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</si>
  <si>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</si>
  <si>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</si>
  <si>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</si>
  <si>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</si>
  <si>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</si>
  <si>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</si>
  <si>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</si>
  <si>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</si>
  <si>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</si>
  <si>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</si>
  <si>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</si>
  <si>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</si>
  <si>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</si>
  <si>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</si>
  <si>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</si>
  <si>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</si>
  <si>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</si>
  <si>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</si>
  <si>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</si>
  <si>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</si>
  <si>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</si>
  <si>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</si>
  <si>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</si>
  <si>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</si>
  <si>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</si>
  <si>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</si>
  <si>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</si>
  <si>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</si>
  <si>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</si>
  <si>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</si>
  <si>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</si>
  <si>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</si>
  <si>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</si>
  <si>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</si>
  <si>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</si>
  <si>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</si>
  <si>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</si>
  <si>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</si>
  <si>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</si>
  <si>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</si>
  <si>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</si>
  <si>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</si>
  <si>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</si>
  <si>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</si>
  <si>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</si>
  <si>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</si>
  <si>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</si>
  <si>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</si>
  <si>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</si>
  <si>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</si>
  <si>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</si>
  <si>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</si>
  <si>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</si>
  <si>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</si>
  <si>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</si>
  <si>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</si>
  <si>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</si>
  <si>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</si>
  <si>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</si>
  <si>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</si>
  <si>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</si>
  <si>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</si>
  <si>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</si>
  <si>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</si>
  <si>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</si>
  <si>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</si>
  <si>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</si>
  <si>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</si>
  <si>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</si>
  <si>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</si>
  <si>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</si>
  <si>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</si>
  <si>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</si>
  <si>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</si>
  <si>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</si>
  <si>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</si>
  <si>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</si>
  <si>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</si>
  <si>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</si>
  <si>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</si>
  <si>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</si>
  <si>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</si>
  <si>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</si>
  <si>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</si>
  <si>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</si>
  <si>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</si>
  <si>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</si>
  <si>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</si>
  <si>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</si>
  <si>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</si>
  <si>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</si>
  <si>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</si>
  <si>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</si>
  <si>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</si>
  <si>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</si>
  <si>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</si>
  <si>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</si>
  <si>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</si>
  <si>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</si>
  <si>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</si>
  <si>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</si>
  <si>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</si>
  <si>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</si>
  <si>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</si>
  <si>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</si>
  <si>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</si>
  <si>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</si>
  <si>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</si>
  <si>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</si>
  <si>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</si>
  <si>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</si>
  <si>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</si>
  <si>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</si>
  <si>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</si>
  <si>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</si>
  <si>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</si>
  <si>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</si>
  <si>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</si>
  <si>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</si>
  <si>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</si>
  <si>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</si>
  <si>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</si>
  <si>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</si>
  <si>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</si>
  <si>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</si>
  <si>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</si>
  <si>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</si>
  <si>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</si>
  <si>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</si>
  <si>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</si>
  <si>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</si>
  <si>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</si>
  <si>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</si>
  <si>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</si>
  <si>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</si>
  <si>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</si>
  <si>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</si>
  <si>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</si>
  <si>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</si>
  <si>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</si>
  <si>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</si>
  <si>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</si>
  <si>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</si>
  <si>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</si>
  <si>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</si>
  <si>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</si>
  <si>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</si>
  <si>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</si>
  <si>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</si>
  <si>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</si>
  <si>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</si>
  <si>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</si>
  <si>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</si>
  <si>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</si>
  <si>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</si>
  <si>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</si>
  <si>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</si>
  <si>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</si>
  <si>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</si>
  <si>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</si>
  <si>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</si>
  <si>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</si>
  <si>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</si>
  <si>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</si>
  <si>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</si>
  <si>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</si>
  <si>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</si>
  <si>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</si>
  <si>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</si>
  <si>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</si>
  <si>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</si>
  <si>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</si>
  <si>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</si>
  <si>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</si>
  <si>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</si>
  <si>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</si>
  <si>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</si>
  <si>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</si>
  <si>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</si>
  <si>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</si>
  <si>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</si>
  <si>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</si>
  <si>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</si>
  <si>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</si>
  <si>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</si>
  <si>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</si>
  <si>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</si>
  <si>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</si>
  <si>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</si>
  <si>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</si>
  <si>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</si>
  <si>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</si>
  <si>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</si>
  <si>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</si>
  <si>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</si>
  <si>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</si>
  <si>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</si>
  <si>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</si>
  <si>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</si>
  <si>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</si>
  <si>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</si>
  <si>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</si>
  <si>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</si>
  <si>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</si>
  <si>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</si>
  <si>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</si>
  <si>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</si>
  <si>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</si>
  <si>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</si>
  <si>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</si>
  <si>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</si>
  <si>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</si>
  <si>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</si>
  <si>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</si>
  <si>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</si>
  <si>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</si>
  <si>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</si>
  <si>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</si>
  <si>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</si>
  <si>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</si>
  <si>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</si>
  <si>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</si>
  <si>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</si>
  <si>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</si>
  <si>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</si>
  <si>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</si>
  <si>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</si>
  <si>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</si>
  <si>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</si>
  <si>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</si>
  <si>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</si>
  <si>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</si>
  <si>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</si>
  <si>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</si>
  <si>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</si>
  <si>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</si>
  <si>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</si>
  <si>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</si>
  <si>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</si>
  <si>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</si>
  <si>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</si>
  <si>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</si>
  <si>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</si>
  <si>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</si>
  <si>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</si>
  <si>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</si>
  <si>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</si>
  <si>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</si>
  <si>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</si>
  <si>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</si>
  <si>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</si>
  <si>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</si>
  <si>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</si>
  <si>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</si>
  <si>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</si>
  <si>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</si>
  <si>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</si>
  <si>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</si>
  <si>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</si>
  <si>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</si>
  <si>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</si>
  <si>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</si>
  <si>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</si>
  <si>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</si>
  <si>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</si>
  <si>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</si>
  <si>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</si>
  <si>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</si>
  <si>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</si>
  <si>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</si>
  <si>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</si>
  <si>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</si>
  <si>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</si>
  <si>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</si>
  <si>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</si>
  <si>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</si>
  <si>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</si>
  <si>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</si>
  <si>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</si>
  <si>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</si>
  <si>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</si>
  <si>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</si>
  <si>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</si>
  <si>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</si>
  <si>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</si>
  <si>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</si>
  <si>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</si>
  <si>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</si>
  <si>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</si>
  <si>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</si>
  <si>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</si>
  <si>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</si>
  <si>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</si>
  <si>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</si>
  <si>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</si>
  <si>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</si>
  <si>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</si>
  <si>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</si>
  <si>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</si>
  <si>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</si>
  <si>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</si>
  <si>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</si>
  <si>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</si>
  <si>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</si>
  <si>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</si>
  <si>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</si>
  <si>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</si>
  <si>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</si>
  <si>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</si>
  <si>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</si>
  <si>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</si>
  <si>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</si>
  <si>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</si>
  <si>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</si>
  <si>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</si>
  <si>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</si>
  <si>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</si>
  <si>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</si>
  <si>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</si>
  <si>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</si>
  <si>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</si>
  <si>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</si>
  <si>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</si>
  <si>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</si>
  <si>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</si>
  <si>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</si>
  <si>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</si>
  <si>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</si>
  <si>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</si>
  <si>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</si>
  <si>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</si>
  <si>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</si>
  <si>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</si>
  <si>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</si>
  <si>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</si>
  <si>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</si>
  <si>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</si>
  <si>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</si>
  <si>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</si>
  <si>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</si>
  <si>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</si>
  <si>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</si>
  <si>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</si>
  <si>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</si>
  <si>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</si>
  <si>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</si>
  <si>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</si>
  <si>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</si>
  <si>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</si>
  <si>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</si>
  <si>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</si>
  <si>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</si>
  <si>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</si>
  <si>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</si>
  <si>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</si>
  <si>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</si>
  <si>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</si>
  <si>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</si>
  <si>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</si>
  <si>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</si>
  <si>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</si>
  <si>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</si>
  <si>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</si>
  <si>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</si>
  <si>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</si>
  <si>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</si>
  <si>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</si>
  <si>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</si>
  <si>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</si>
  <si>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</si>
  <si>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</si>
  <si>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</si>
  <si>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</si>
  <si>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</si>
  <si>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</si>
  <si>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</si>
  <si>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</si>
  <si>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</si>
  <si>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</si>
  <si>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</si>
  <si>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</si>
  <si>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</si>
  <si>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</si>
  <si>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</si>
  <si>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</si>
  <si>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</si>
  <si>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</si>
  <si>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</si>
  <si>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</si>
  <si>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</si>
  <si>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</si>
  <si>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</si>
  <si>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</si>
  <si>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</si>
  <si>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</si>
  <si>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</si>
  <si>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</si>
  <si>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</si>
  <si>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</si>
  <si>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</si>
  <si>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</si>
  <si>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</si>
  <si>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</si>
  <si>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</si>
  <si>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</si>
  <si>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</si>
  <si>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</si>
  <si>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</si>
  <si>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</si>
  <si>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</si>
  <si>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</si>
  <si>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</si>
  <si>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</si>
  <si>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</si>
  <si>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</si>
  <si>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</si>
  <si>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</si>
  <si>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</si>
  <si>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</si>
  <si>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</si>
  <si>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</si>
  <si>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</si>
  <si>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</si>
  <si>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</si>
  <si>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</si>
  <si>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</si>
  <si>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</si>
  <si>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</si>
  <si>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</si>
  <si>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</si>
  <si>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</si>
  <si>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</si>
  <si>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</si>
  <si>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</si>
  <si>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</si>
  <si>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</si>
  <si>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</si>
  <si>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</si>
  <si>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</si>
  <si>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</si>
  <si>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</si>
  <si>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</si>
  <si>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</si>
  <si>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</si>
  <si>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</si>
  <si>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</si>
  <si>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</si>
  <si>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</si>
  <si>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</si>
  <si>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</si>
  <si>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</si>
  <si>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</si>
  <si>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</si>
  <si>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</si>
  <si>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</si>
  <si>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</si>
  <si>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</si>
  <si>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</si>
  <si>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</si>
  <si>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</si>
  <si>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</si>
  <si>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</si>
  <si>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</si>
  <si>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</si>
  <si>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</si>
  <si>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</si>
  <si>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</si>
  <si>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</si>
  <si>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</si>
  <si>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</si>
  <si>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</si>
  <si>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</si>
  <si>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</si>
  <si>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</si>
  <si>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</si>
  <si>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</si>
  <si>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</si>
  <si>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</si>
  <si>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</si>
  <si>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</si>
  <si>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</si>
  <si>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</si>
  <si>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</si>
  <si>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</si>
  <si>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</si>
  <si>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</si>
  <si>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</si>
  <si>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</si>
  <si>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</si>
  <si>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</si>
  <si>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</si>
  <si>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</si>
  <si>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</si>
  <si>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</si>
  <si>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</si>
  <si>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</si>
  <si>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</si>
  <si>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</si>
  <si>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</si>
  <si>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</si>
  <si>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</si>
  <si>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</si>
  <si>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</si>
  <si>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</si>
  <si>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</si>
  <si>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</si>
  <si>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</si>
  <si>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</si>
  <si>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</si>
  <si>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</si>
  <si>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</si>
  <si>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</si>
  <si>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</si>
  <si>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</si>
  <si>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</si>
  <si>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</si>
  <si>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</si>
  <si>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</si>
  <si>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</si>
  <si>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</si>
  <si>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</si>
  <si>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</si>
  <si>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</si>
  <si>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</si>
  <si>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</si>
  <si>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</si>
  <si>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</si>
  <si>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</si>
  <si>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</si>
  <si>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</si>
  <si>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</si>
  <si>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</si>
  <si>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</si>
  <si>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</si>
  <si>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</si>
  <si>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</si>
  <si>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</si>
  <si>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</si>
  <si>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</si>
  <si>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</si>
  <si>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</si>
  <si>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</si>
  <si>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</si>
  <si>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</si>
  <si>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</si>
  <si>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</si>
  <si>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</si>
  <si>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</si>
  <si>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</si>
  <si>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</si>
  <si>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</si>
  <si>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</si>
  <si>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</si>
  <si>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</si>
  <si>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</si>
  <si>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</si>
  <si>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</si>
  <si>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</si>
  <si>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</si>
  <si>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</si>
  <si>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</si>
  <si>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</si>
  <si>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</si>
  <si>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</si>
  <si>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</si>
  <si>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</si>
  <si>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</si>
  <si>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</si>
  <si>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</si>
  <si>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</si>
  <si>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</si>
  <si>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</si>
  <si>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</si>
  <si>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</si>
  <si>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</si>
  <si>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</si>
  <si>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</si>
  <si>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</si>
  <si>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</si>
  <si>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</si>
  <si>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</si>
  <si>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</si>
  <si>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</si>
  <si>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</si>
  <si>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</si>
  <si>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</si>
  <si>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</si>
  <si>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</si>
  <si>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</si>
  <si>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</si>
  <si>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</si>
  <si>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</si>
  <si>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</si>
  <si>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</si>
  <si>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</si>
  <si>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</si>
  <si>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</si>
  <si>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</si>
  <si>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</si>
  <si>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</si>
  <si>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</si>
  <si>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</si>
  <si>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</si>
  <si>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</si>
  <si>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</si>
  <si>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</si>
  <si>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</si>
  <si>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</si>
  <si>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</si>
  <si>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</si>
  <si>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</si>
  <si>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</si>
  <si>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</si>
  <si>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</si>
  <si>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</si>
  <si>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</si>
  <si>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</si>
  <si>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</si>
  <si>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</si>
  <si>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</si>
  <si>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</si>
  <si>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</si>
  <si>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</si>
  <si>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</si>
  <si>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</si>
  <si>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</si>
  <si>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</si>
  <si>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</si>
  <si>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</si>
  <si>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</si>
  <si>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</si>
  <si>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</si>
  <si>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</si>
  <si>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</si>
  <si>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</si>
  <si>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</si>
  <si>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</si>
  <si>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</si>
  <si>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</si>
  <si>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</si>
  <si>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</si>
  <si>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</si>
  <si>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</si>
  <si>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</si>
  <si>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</si>
  <si>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</si>
  <si>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</si>
  <si>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</si>
  <si>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</si>
  <si>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</si>
  <si>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</si>
  <si>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</si>
  <si>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</si>
  <si>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</si>
  <si>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</si>
  <si>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</si>
  <si>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</si>
  <si>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</si>
  <si>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</si>
  <si>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</si>
  <si>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</si>
  <si>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</si>
  <si>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</si>
  <si>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</si>
  <si>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</si>
  <si>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</si>
  <si>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</si>
  <si>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</si>
  <si>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</si>
  <si>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</si>
  <si>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</si>
  <si>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</si>
  <si>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</si>
  <si>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</si>
  <si>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</si>
  <si>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</si>
  <si>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</si>
  <si>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</si>
  <si>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</si>
  <si>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</si>
  <si>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</si>
  <si>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</si>
  <si>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</si>
  <si>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</si>
  <si>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</si>
  <si>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</si>
  <si>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</si>
  <si>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</si>
  <si>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</si>
  <si>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</si>
  <si>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</si>
  <si>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</si>
  <si>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</si>
  <si>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</si>
  <si>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</si>
  <si>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</si>
  <si>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</si>
  <si>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</si>
  <si>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</si>
  <si>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</si>
  <si>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</si>
  <si>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</si>
  <si>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</si>
  <si>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</si>
  <si>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</si>
  <si>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</si>
  <si>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</si>
  <si>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</si>
  <si>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</si>
  <si>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</si>
  <si>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</si>
  <si>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</si>
  <si>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</si>
  <si>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</si>
  <si>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</si>
  <si>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</si>
  <si>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</si>
  <si>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</si>
  <si>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</si>
  <si>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</si>
  <si>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</si>
  <si>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</si>
  <si>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</si>
  <si>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</si>
  <si>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</si>
  <si>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</si>
  <si>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</si>
  <si>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</si>
  <si>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</si>
  <si>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</si>
  <si>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</si>
  <si>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</si>
  <si>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</si>
  <si>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</si>
  <si>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</si>
  <si>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</si>
  <si>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</si>
  <si>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</si>
  <si>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</si>
  <si>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</si>
  <si>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</si>
  <si>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</si>
  <si>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</si>
  <si>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</si>
  <si>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</si>
  <si>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</si>
  <si>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</si>
  <si>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</si>
  <si>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</si>
  <si>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</si>
  <si>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</si>
  <si>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</si>
  <si>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</si>
  <si>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</si>
  <si>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</si>
  <si>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</si>
  <si>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</si>
  <si>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</si>
  <si>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</si>
  <si>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</si>
  <si>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</si>
  <si>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</si>
  <si>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</si>
  <si>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</si>
  <si>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</si>
  <si>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</si>
  <si>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</si>
  <si>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</si>
  <si>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</si>
  <si>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</si>
  <si>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</si>
  <si>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</si>
  <si>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</si>
  <si>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</si>
  <si>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</si>
  <si>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</si>
  <si>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</si>
  <si>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</si>
  <si>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</si>
  <si>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</si>
  <si>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</si>
  <si>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</si>
  <si>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</si>
  <si>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</si>
  <si>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</si>
  <si>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</si>
  <si>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</si>
  <si>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</si>
  <si>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</si>
  <si>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</si>
  <si>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</si>
  <si>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</si>
  <si>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</si>
  <si>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</si>
  <si>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</si>
  <si>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</si>
  <si>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</si>
  <si>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</si>
  <si>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</si>
  <si>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</si>
  <si>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</si>
  <si>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</si>
  <si>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</si>
  <si>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</si>
  <si>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</si>
  <si>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</si>
  <si>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</si>
  <si>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</si>
  <si>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</si>
  <si>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</si>
  <si>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</si>
  <si>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</si>
  <si>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</si>
  <si>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</si>
  <si>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</si>
  <si>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</si>
  <si>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</si>
  <si>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</si>
  <si>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</si>
  <si>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</si>
  <si>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</si>
  <si>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</si>
  <si>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</si>
  <si>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</si>
  <si>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</si>
  <si>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</si>
  <si>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</si>
  <si>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</si>
  <si>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</si>
  <si>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</si>
  <si>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</si>
  <si>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</si>
  <si>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</si>
  <si>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</si>
  <si>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</si>
  <si>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</si>
  <si>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</si>
  <si>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</si>
  <si>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</si>
  <si>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</si>
  <si>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</si>
  <si>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</si>
  <si>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</si>
  <si>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</si>
  <si>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</si>
  <si>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</si>
  <si>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</si>
  <si>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</si>
  <si>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</si>
  <si>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</si>
  <si>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</si>
  <si>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</si>
  <si>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</si>
  <si>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</si>
  <si>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</si>
  <si>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</si>
  <si>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</si>
  <si>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</si>
  <si>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</si>
  <si>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</si>
  <si>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</si>
  <si>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</si>
  <si>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</si>
  <si>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</si>
  <si>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</si>
  <si>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</si>
  <si>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</si>
  <si>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</si>
  <si>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</si>
  <si>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</si>
  <si>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</si>
  <si>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</si>
  <si>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</si>
  <si>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</si>
  <si>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</si>
  <si>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</si>
  <si>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</si>
  <si>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</si>
  <si>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</si>
  <si>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</si>
  <si>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</si>
  <si>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</si>
  <si>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</si>
  <si>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</si>
  <si>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</si>
  <si>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</si>
  <si>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</si>
  <si>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</si>
  <si>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</si>
  <si>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</si>
  <si>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</si>
  <si>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</si>
  <si>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</si>
  <si>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</si>
  <si>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</si>
  <si>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</si>
  <si>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</si>
  <si>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</si>
  <si>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</si>
  <si>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</si>
  <si>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</si>
  <si>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</si>
  <si>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</si>
  <si>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</si>
  <si>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</si>
  <si>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</si>
  <si>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</si>
  <si>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</si>
  <si>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</si>
  <si>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</si>
  <si>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</si>
  <si>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</si>
  <si>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</si>
  <si>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</si>
  <si>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</si>
  <si>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</si>
  <si>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</si>
  <si>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</si>
  <si>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</si>
  <si>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</si>
  <si>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</si>
  <si>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</si>
  <si>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</si>
  <si>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</si>
  <si>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</si>
  <si>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</si>
  <si>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</si>
  <si>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</si>
  <si>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</si>
  <si>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</si>
  <si>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</si>
  <si>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</si>
  <si>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</si>
  <si>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</si>
  <si>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</si>
  <si>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</si>
  <si>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</si>
  <si>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</si>
  <si>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</si>
  <si>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</si>
  <si>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</si>
  <si>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</si>
  <si>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</si>
  <si>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</si>
  <si>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</si>
  <si>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</si>
  <si>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</si>
  <si>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</si>
  <si>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</si>
  <si>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</si>
  <si>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</si>
  <si>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</si>
  <si>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</si>
  <si>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</si>
  <si>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</si>
  <si>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</si>
  <si>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</si>
  <si>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</si>
  <si>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</si>
  <si>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</si>
  <si>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</si>
  <si>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</si>
  <si>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</si>
  <si>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</si>
  <si>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</si>
  <si>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</si>
  <si>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</si>
  <si>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</si>
  <si>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</si>
  <si>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</si>
  <si>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</si>
  <si>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</si>
  <si>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</si>
  <si>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</si>
  <si>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</si>
  <si>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</si>
  <si>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</si>
  <si>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</si>
  <si>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</si>
  <si>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</si>
  <si>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</si>
  <si>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</si>
  <si>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</si>
  <si>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</si>
  <si>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</si>
  <si>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</si>
  <si>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</si>
  <si>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</si>
  <si>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</si>
  <si>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</si>
  <si>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</si>
  <si>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</si>
  <si>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</si>
  <si>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</si>
  <si>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</si>
  <si>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</si>
  <si>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</si>
  <si>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</si>
  <si>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</si>
  <si>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</si>
  <si>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</si>
  <si>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</si>
  <si>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</si>
  <si>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</si>
  <si>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</si>
  <si>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</si>
  <si>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</si>
  <si>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</si>
  <si>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</si>
  <si>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</si>
  <si>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</si>
  <si>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</si>
  <si>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</si>
  <si>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</si>
  <si>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</si>
  <si>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</si>
  <si>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</si>
  <si>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</si>
  <si>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</si>
  <si>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</si>
  <si>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</si>
  <si>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</si>
  <si>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</si>
  <si>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</si>
  <si>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</si>
  <si>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</si>
  <si>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</si>
  <si>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</si>
  <si>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</si>
  <si>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</si>
  <si>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</si>
  <si>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</si>
  <si>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</si>
  <si>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</si>
  <si>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</si>
  <si>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</si>
  <si>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</si>
  <si>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</si>
  <si>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</si>
  <si>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</si>
  <si>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</si>
  <si>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</si>
  <si>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</si>
  <si>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</si>
  <si>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</si>
  <si>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</si>
  <si>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</si>
  <si>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</si>
  <si>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</si>
  <si>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</si>
  <si>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</si>
  <si>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</si>
  <si>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</si>
  <si>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</si>
  <si>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</si>
  <si>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</si>
  <si>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</si>
  <si>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</si>
  <si>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</si>
  <si>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</si>
  <si>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</si>
  <si>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</si>
  <si>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</si>
  <si>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</si>
  <si>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</si>
  <si>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</si>
  <si>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</si>
  <si>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</si>
  <si>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</si>
  <si>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</si>
  <si>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</si>
  <si>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</si>
  <si>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</si>
  <si>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</si>
  <si>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</si>
  <si>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</si>
  <si>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</si>
  <si>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</si>
  <si>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</si>
  <si>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</si>
  <si>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</si>
  <si>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</si>
  <si>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</si>
  <si>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</si>
  <si>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</si>
  <si>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</si>
  <si>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</si>
  <si>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</si>
  <si>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</si>
  <si>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</si>
  <si>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</si>
  <si>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</si>
  <si>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</si>
  <si>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</si>
  <si>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</si>
  <si>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</si>
  <si>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</si>
  <si>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</si>
  <si>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</si>
  <si>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</si>
  <si>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</si>
  <si>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</si>
  <si>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</si>
  <si>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</si>
  <si>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</si>
  <si>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</si>
  <si>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</si>
  <si>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</si>
  <si>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</si>
  <si>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</si>
  <si>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</si>
  <si>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</si>
  <si>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</si>
  <si>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</si>
  <si>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</si>
  <si>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</si>
  <si>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</si>
  <si>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</si>
  <si>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</si>
  <si>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</si>
  <si>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</si>
  <si>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</si>
  <si>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</si>
  <si>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</si>
  <si>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</si>
  <si>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</si>
  <si>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</si>
  <si>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</si>
  <si>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</si>
  <si>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</si>
  <si>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</si>
  <si>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</si>
  <si>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</si>
  <si>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</si>
  <si>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</si>
  <si>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</si>
  <si>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</si>
  <si>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</si>
  <si>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</si>
  <si>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</si>
  <si>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</si>
  <si>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</si>
  <si>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</si>
  <si>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</si>
  <si>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</si>
  <si>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</si>
  <si>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</si>
  <si>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</si>
  <si>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</si>
  <si>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</si>
  <si>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</si>
  <si>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</si>
  <si>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</si>
  <si>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</si>
  <si>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</si>
  <si>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</si>
  <si>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</si>
  <si>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</si>
  <si>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</si>
  <si>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</si>
  <si>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</si>
  <si>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</si>
  <si>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</si>
  <si>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</si>
  <si>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</si>
  <si>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</si>
  <si>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</si>
  <si>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</si>
  <si>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</si>
  <si>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</si>
  <si>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</si>
  <si>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</si>
  <si>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</si>
  <si>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</si>
  <si>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</si>
  <si>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</si>
  <si>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</si>
  <si>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</si>
  <si>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</si>
  <si>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</si>
  <si>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</si>
  <si>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</si>
  <si>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</si>
  <si>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</si>
  <si>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</si>
  <si>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</si>
  <si>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</si>
  <si>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</si>
  <si>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</si>
  <si>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</si>
  <si>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</si>
  <si>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</si>
  <si>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</si>
  <si>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</si>
  <si>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</si>
  <si>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</si>
  <si>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</si>
  <si>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</si>
  <si>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</si>
  <si>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</si>
  <si>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</si>
  <si>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</si>
  <si>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</si>
  <si>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</si>
  <si>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</si>
  <si>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</si>
  <si>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</si>
  <si>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</si>
  <si>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</si>
  <si>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</si>
  <si>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</si>
  <si>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</si>
  <si>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</si>
  <si>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</si>
  <si>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</si>
  <si>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</si>
  <si>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</si>
  <si>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</si>
  <si>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</si>
  <si>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</si>
  <si>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</si>
  <si>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</si>
  <si>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</si>
  <si>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</si>
  <si>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</si>
  <si>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</si>
  <si>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</si>
  <si>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</si>
  <si>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</si>
  <si>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</si>
  <si>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</si>
  <si>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</si>
  <si>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</si>
  <si>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</si>
  <si>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</si>
  <si>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</si>
  <si>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</si>
  <si>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</si>
  <si>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</si>
  <si>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</si>
  <si>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</si>
  <si>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</si>
  <si>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</si>
  <si>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</si>
  <si>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</si>
  <si>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</si>
  <si>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</si>
  <si>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</si>
  <si>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</si>
  <si>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</si>
  <si>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</si>
  <si>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</si>
  <si>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</si>
  <si>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</si>
  <si>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</si>
  <si>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</si>
  <si>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</si>
  <si>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</si>
  <si>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</si>
  <si>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</si>
  <si>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</si>
  <si>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</si>
  <si>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</si>
  <si>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</si>
  <si>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</si>
  <si>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</si>
  <si>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</si>
  <si>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</si>
  <si>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</si>
  <si>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</si>
  <si>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</si>
  <si>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</si>
  <si>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</si>
  <si>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</si>
  <si>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</si>
  <si>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</si>
  <si>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</si>
  <si>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</si>
  <si>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</si>
  <si>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</si>
  <si>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</si>
  <si>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</si>
  <si>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</si>
  <si>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</si>
  <si>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</si>
  <si>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</si>
  <si>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</si>
  <si>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</si>
  <si>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</si>
  <si>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</si>
  <si>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</si>
  <si>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</si>
  <si>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</si>
  <si>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</si>
  <si>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</si>
  <si>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</si>
  <si>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</si>
  <si>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</si>
  <si>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</si>
  <si>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</si>
  <si>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</si>
  <si>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</si>
  <si>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</si>
  <si>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</si>
  <si>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</si>
  <si>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</si>
  <si>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</si>
  <si>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</si>
  <si>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</si>
  <si>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</si>
  <si>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</si>
  <si>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</si>
  <si>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</si>
  <si>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</si>
  <si>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</si>
  <si>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</si>
  <si>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</si>
  <si>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</si>
  <si>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</si>
  <si>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</si>
  <si>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</si>
  <si>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</si>
  <si>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</si>
  <si>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</si>
  <si>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</si>
  <si>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</si>
  <si>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</si>
  <si>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</si>
  <si>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</si>
  <si>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</si>
  <si>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</si>
  <si>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</si>
  <si>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</si>
  <si>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</si>
  <si>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</si>
  <si>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</si>
  <si>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</si>
  <si>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</si>
  <si>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</si>
  <si>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</si>
  <si>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</si>
  <si>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</si>
  <si>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</si>
  <si>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</si>
  <si>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</si>
  <si>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</si>
  <si>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</si>
  <si>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</si>
  <si>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</si>
  <si>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</si>
  <si>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</si>
  <si>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</si>
  <si>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</si>
  <si>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</si>
  <si>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</si>
  <si>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</si>
  <si>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</si>
  <si>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</si>
  <si>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</si>
  <si>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</si>
  <si>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</si>
  <si>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</si>
  <si>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</si>
  <si>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</si>
  <si>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</si>
  <si>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</si>
  <si>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</si>
  <si>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</si>
  <si>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</si>
  <si>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</si>
  <si>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</si>
  <si>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</si>
  <si>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</si>
  <si>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</si>
  <si>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</si>
  <si>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</si>
  <si>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</si>
  <si>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</si>
  <si>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</si>
  <si>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</si>
  <si>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</si>
  <si>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</si>
  <si>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</si>
  <si>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</si>
  <si>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</si>
  <si>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</si>
  <si>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</si>
  <si>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</si>
  <si>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</si>
  <si>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</si>
  <si>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</si>
  <si>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</si>
  <si>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</si>
  <si>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</si>
  <si>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</si>
  <si>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</si>
  <si>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</si>
  <si>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</si>
  <si>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</si>
  <si>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</si>
  <si>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</si>
  <si>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</si>
  <si>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</si>
  <si>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</si>
  <si>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</si>
  <si>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</si>
  <si>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</si>
  <si>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</si>
  <si>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</si>
  <si>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</si>
  <si>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</si>
  <si>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</si>
  <si>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</si>
  <si>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</si>
  <si>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</si>
  <si>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</si>
  <si>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</si>
  <si>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</si>
  <si>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</si>
  <si>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</si>
  <si>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</si>
  <si>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</si>
  <si>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</si>
  <si>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</si>
  <si>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</si>
  <si>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</si>
  <si>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</si>
  <si>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</si>
  <si>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</si>
  <si>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</si>
  <si>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</si>
  <si>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</si>
  <si>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</si>
  <si>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</si>
  <si>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</si>
  <si>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</si>
  <si>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</si>
  <si>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</si>
  <si>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</si>
  <si>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</si>
  <si>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</si>
  <si>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</si>
  <si>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</si>
  <si>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</si>
  <si>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</si>
  <si>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</si>
  <si>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</si>
  <si>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</si>
  <si>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</si>
  <si>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</si>
  <si>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</si>
  <si>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</si>
  <si>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</si>
  <si>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</si>
  <si>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</si>
  <si>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</si>
  <si>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</si>
  <si>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</si>
  <si>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</si>
  <si>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</si>
  <si>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</si>
  <si>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</si>
  <si>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</si>
  <si>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</si>
  <si>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</si>
  <si>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</si>
  <si>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</si>
  <si>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</si>
  <si>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</si>
  <si>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</si>
  <si>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</si>
  <si>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</si>
  <si>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</si>
  <si>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</si>
  <si>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</si>
  <si>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</si>
  <si>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</si>
  <si>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</si>
  <si>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</si>
  <si>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</si>
  <si>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</si>
  <si>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</si>
  <si>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</si>
  <si>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</si>
  <si>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</si>
  <si>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</si>
  <si>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</si>
  <si>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</si>
  <si>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</si>
  <si>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</si>
  <si>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</si>
  <si>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</si>
  <si>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</si>
  <si>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</si>
  <si>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</si>
  <si>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</si>
  <si>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</si>
  <si>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</si>
  <si>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</si>
  <si>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</si>
  <si>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</si>
  <si>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</si>
  <si>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</si>
  <si>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</si>
  <si>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</si>
  <si>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</si>
  <si>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</si>
  <si>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</si>
  <si>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</si>
  <si>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</si>
  <si>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</si>
  <si>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</si>
  <si>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</si>
  <si>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</si>
  <si>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</si>
  <si>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</si>
  <si>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</si>
  <si>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</si>
  <si>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</si>
  <si>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</si>
  <si>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</si>
  <si>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</si>
  <si>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</si>
  <si>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</si>
  <si>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</si>
  <si>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</si>
  <si>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</si>
  <si>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</si>
  <si>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</si>
  <si>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</si>
  <si>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</si>
  <si>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</si>
  <si>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</si>
  <si>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</si>
  <si>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</si>
  <si>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</si>
  <si>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</si>
  <si>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</si>
  <si>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</si>
  <si>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</si>
  <si>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</si>
  <si>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</si>
  <si>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</si>
  <si>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</si>
  <si>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</si>
  <si>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</si>
  <si>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</si>
  <si>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</si>
  <si>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</si>
  <si>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</si>
  <si>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</si>
  <si>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</si>
  <si>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</si>
  <si>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</si>
  <si>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</si>
  <si>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</si>
  <si>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</si>
  <si>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</si>
  <si>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</si>
  <si>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</si>
  <si>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</si>
  <si>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</si>
  <si>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</si>
  <si>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</si>
  <si>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</si>
  <si>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</si>
  <si>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</si>
  <si>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</si>
  <si>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</si>
  <si>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</si>
  <si>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</si>
  <si>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</si>
  <si>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</si>
  <si>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</si>
  <si>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</si>
  <si>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</si>
  <si>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</si>
  <si>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</si>
  <si>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</si>
  <si>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</si>
  <si>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</si>
  <si>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</si>
  <si>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</si>
  <si>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</si>
  <si>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</si>
  <si>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</si>
  <si>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</si>
  <si>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</si>
  <si>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</si>
  <si>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</si>
  <si>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</si>
  <si>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</si>
  <si>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</si>
  <si>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</si>
  <si>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</si>
  <si>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</si>
  <si>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</si>
  <si>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</si>
  <si>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</si>
  <si>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</si>
  <si>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</si>
  <si>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</si>
  <si>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</si>
  <si>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</si>
  <si>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</si>
  <si>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</si>
  <si>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</si>
  <si>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</si>
  <si>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</si>
  <si>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</si>
  <si>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</si>
  <si>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</si>
  <si>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</si>
  <si>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</si>
  <si>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</si>
  <si>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</si>
  <si>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</si>
  <si>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</si>
  <si>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</si>
  <si>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</si>
  <si>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</si>
  <si>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</si>
  <si>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</si>
  <si>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</si>
  <si>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</si>
  <si>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</si>
  <si>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</si>
  <si>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</si>
  <si>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</si>
  <si>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</si>
  <si>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</si>
  <si>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</si>
  <si>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</si>
  <si>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</si>
  <si>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</si>
  <si>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</si>
  <si>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</si>
  <si>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</si>
  <si>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</si>
  <si>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</si>
  <si>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</si>
  <si>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</si>
  <si>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</si>
  <si>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</si>
  <si>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</si>
  <si>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</si>
  <si>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</si>
  <si>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</si>
  <si>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</si>
  <si>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</si>
  <si>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</si>
  <si>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</si>
  <si>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</si>
  <si>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</si>
  <si>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</si>
  <si>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</si>
  <si>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</si>
  <si>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</si>
  <si>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</si>
  <si>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</si>
  <si>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</si>
  <si>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</si>
  <si>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</si>
  <si>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</si>
  <si>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</si>
  <si>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</si>
  <si>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</si>
  <si>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</si>
  <si>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</si>
  <si>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</si>
  <si>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</si>
  <si>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</si>
  <si>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</si>
  <si>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</si>
  <si>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</si>
  <si>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</si>
  <si>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</si>
  <si>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</si>
  <si>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</si>
  <si>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</si>
  <si>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</si>
  <si>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</si>
  <si>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</si>
  <si>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</si>
  <si>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</si>
  <si>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</si>
  <si>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</si>
  <si>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</si>
  <si>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</si>
  <si>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</si>
  <si>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</si>
  <si>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</si>
  <si>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</si>
  <si>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</si>
  <si>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</si>
  <si>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</si>
  <si>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</si>
  <si>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</si>
  <si>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</si>
  <si>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</si>
  <si>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</si>
  <si>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</si>
  <si>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</si>
  <si>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</si>
  <si>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</si>
  <si>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</si>
  <si>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</si>
  <si>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</si>
  <si>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</si>
  <si>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</si>
  <si>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</si>
  <si>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</si>
  <si>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</si>
  <si>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</si>
  <si>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</si>
  <si>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</si>
  <si>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</si>
  <si>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</si>
  <si>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</si>
  <si>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</si>
  <si>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</si>
  <si>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</si>
  <si>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</si>
  <si>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</si>
  <si>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</si>
  <si>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</si>
  <si>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</si>
  <si>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</si>
  <si>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</si>
  <si>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</si>
  <si>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</si>
  <si>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</si>
  <si>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</si>
  <si>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</si>
  <si>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</si>
  <si>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</si>
  <si>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</si>
  <si>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</si>
  <si>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</si>
  <si>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</si>
  <si>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</si>
  <si>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</si>
  <si>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</si>
  <si>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</si>
  <si>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</si>
  <si>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</si>
  <si>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</si>
  <si>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</si>
  <si>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</si>
  <si>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</si>
  <si>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</si>
  <si>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</si>
  <si>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</si>
  <si>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</si>
  <si>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</si>
  <si>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</si>
  <si>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</si>
  <si>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</si>
  <si>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</si>
  <si>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</si>
  <si>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</si>
  <si>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</si>
  <si>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</si>
  <si>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</si>
  <si>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</si>
  <si>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</si>
  <si>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</si>
  <si>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</si>
  <si>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</si>
  <si>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</si>
  <si>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</si>
  <si>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</si>
  <si>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</si>
  <si>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</si>
  <si>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</si>
  <si>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</si>
  <si>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</si>
  <si>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</si>
  <si>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</si>
  <si>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</si>
  <si>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</si>
  <si>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</si>
  <si>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</si>
  <si>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</si>
  <si>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</si>
  <si>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</si>
  <si>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</si>
  <si>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</si>
  <si>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</si>
  <si>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</si>
  <si>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</si>
  <si>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</si>
  <si>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</si>
  <si>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</si>
  <si>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</si>
  <si>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</si>
  <si>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</si>
  <si>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</si>
  <si>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</si>
  <si>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</si>
  <si>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</si>
  <si>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</si>
  <si>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</si>
  <si>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</si>
  <si>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</si>
  <si>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</si>
  <si>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</si>
  <si>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</si>
  <si>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</si>
  <si>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</si>
  <si>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</si>
  <si>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</si>
  <si>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</si>
  <si>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</si>
  <si>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</si>
  <si>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</si>
  <si>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</si>
  <si>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</si>
  <si>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</si>
  <si>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</si>
  <si>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</si>
  <si>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</si>
  <si>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</si>
  <si>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</si>
  <si>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</si>
  <si>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</si>
  <si>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</si>
  <si>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</si>
  <si>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</si>
  <si>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</si>
  <si>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</si>
  <si>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</si>
  <si>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</si>
  <si>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</si>
  <si>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</si>
  <si>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</si>
  <si>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</si>
  <si>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</si>
  <si>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</si>
  <si>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</si>
  <si>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</si>
  <si>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</si>
  <si>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</si>
  <si>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</si>
  <si>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</si>
  <si>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</si>
  <si>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</si>
  <si>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</si>
  <si>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</si>
  <si>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</si>
  <si>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</si>
  <si>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</si>
  <si>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</si>
  <si>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</si>
  <si>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</si>
  <si>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</si>
  <si>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</si>
  <si>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</si>
  <si>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</si>
  <si>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</si>
  <si>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</si>
  <si>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</si>
  <si>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</si>
  <si>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</si>
  <si>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</si>
  <si>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</si>
  <si>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</si>
  <si>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</si>
  <si>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</si>
  <si>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</si>
  <si>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</si>
  <si>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</si>
  <si>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</si>
  <si>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</si>
  <si>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</si>
  <si>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</si>
  <si>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</si>
  <si>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</si>
  <si>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</si>
  <si>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</si>
  <si>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</si>
  <si>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</si>
  <si>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</si>
  <si>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</si>
  <si>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</si>
  <si>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</si>
  <si>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</si>
  <si>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</si>
  <si>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</si>
  <si>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</si>
  <si>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</si>
  <si>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</si>
  <si>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</si>
  <si>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</si>
  <si>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</si>
  <si>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</si>
  <si>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</si>
  <si>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</si>
  <si>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</si>
  <si>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</si>
  <si>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</si>
  <si>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</si>
  <si>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</si>
  <si>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</si>
  <si>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</si>
  <si>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</si>
  <si>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</si>
  <si>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</si>
  <si>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</si>
  <si>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</si>
  <si>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</si>
  <si>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</si>
  <si>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</si>
  <si>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</si>
  <si>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</si>
  <si>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</si>
  <si>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</si>
  <si>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</si>
  <si>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</si>
  <si>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</si>
  <si>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</si>
  <si>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</si>
  <si>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</si>
  <si>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</si>
  <si>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</si>
  <si>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</si>
  <si>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</si>
  <si>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</si>
  <si>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</si>
  <si>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</si>
  <si>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</si>
  <si>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</si>
  <si>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</si>
  <si>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</si>
  <si>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</si>
  <si>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</si>
  <si>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</si>
  <si>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</si>
  <si>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</si>
  <si>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</si>
  <si>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</si>
  <si>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</si>
  <si>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</si>
  <si>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</si>
  <si>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</si>
  <si>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</si>
  <si>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</si>
  <si>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</si>
  <si>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</si>
  <si>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</si>
  <si>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</si>
  <si>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</si>
  <si>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</si>
  <si>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</si>
  <si>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</si>
  <si>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</si>
  <si>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</si>
  <si>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</si>
  <si>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</si>
  <si>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</si>
  <si>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</si>
  <si>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</si>
  <si>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</si>
  <si>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</si>
  <si>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</si>
  <si>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</si>
  <si>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</si>
  <si>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</si>
  <si>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</si>
  <si>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</si>
  <si>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</si>
  <si>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</si>
  <si>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</si>
  <si>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</si>
  <si>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</si>
  <si>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</si>
  <si>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</si>
  <si>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</si>
  <si>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</si>
  <si>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</si>
  <si>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</si>
  <si>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</si>
  <si>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</si>
  <si>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</si>
  <si>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</si>
  <si>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</si>
  <si>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</si>
  <si>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</si>
  <si>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</si>
  <si>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</si>
  <si>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</si>
  <si>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</si>
  <si>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</si>
  <si>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</si>
  <si>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</si>
  <si>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</si>
  <si>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</si>
  <si>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</si>
  <si>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</si>
  <si>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</si>
  <si>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</si>
  <si>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</si>
  <si>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</si>
  <si>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</si>
  <si>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</si>
  <si>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</si>
  <si>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</si>
  <si>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</si>
  <si>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</si>
  <si>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</si>
  <si>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</si>
  <si>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</si>
  <si>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</si>
  <si>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</si>
  <si>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</si>
  <si>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</si>
  <si>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</si>
  <si>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</si>
  <si>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</si>
  <si>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</si>
  <si>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</si>
  <si>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</si>
  <si>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</si>
  <si>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</si>
  <si>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</si>
  <si>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</si>
  <si>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</si>
  <si>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</si>
  <si>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</si>
  <si>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</si>
  <si>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</si>
  <si>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</si>
  <si>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</si>
  <si>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</si>
  <si>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</si>
  <si>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</si>
  <si>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</si>
  <si>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</si>
  <si>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</si>
  <si>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</si>
  <si>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</si>
  <si>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</si>
  <si>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</si>
  <si>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</si>
  <si>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</si>
  <si>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</si>
  <si>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</si>
  <si>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</si>
  <si>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</si>
  <si>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</si>
  <si>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</si>
  <si>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</si>
  <si>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</si>
  <si>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</si>
  <si>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</si>
  <si>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</si>
  <si>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</si>
  <si>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</si>
  <si>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</si>
  <si>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</si>
  <si>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</si>
  <si>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</si>
  <si>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</si>
  <si>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</si>
  <si>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</si>
  <si>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</si>
  <si>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</si>
  <si>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</si>
  <si>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</si>
  <si>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</si>
  <si>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</si>
  <si>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</si>
  <si>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</si>
  <si>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</si>
  <si>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</si>
  <si>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</si>
  <si>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</si>
  <si>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</si>
  <si>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</si>
  <si>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</si>
  <si>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</si>
  <si>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</si>
  <si>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</si>
  <si>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</si>
  <si>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</si>
  <si>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</si>
  <si>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</si>
  <si>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</si>
  <si>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</si>
  <si>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</si>
  <si>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</si>
  <si>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</si>
  <si>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</si>
  <si>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</si>
  <si>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</si>
  <si>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</si>
  <si>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</si>
  <si>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</si>
  <si>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</si>
  <si>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</si>
  <si>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</si>
  <si>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</si>
  <si>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</si>
  <si>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</si>
  <si>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</si>
  <si>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</si>
  <si>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</si>
  <si>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</si>
  <si>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</si>
  <si>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</si>
  <si>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</si>
  <si>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</si>
  <si>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</si>
  <si>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</si>
  <si>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</si>
  <si>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</si>
  <si>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</si>
  <si>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</si>
  <si>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</si>
  <si>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</si>
  <si>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</si>
  <si>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</si>
  <si>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</si>
  <si>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</si>
  <si>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</si>
  <si>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</si>
  <si>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</si>
  <si>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</si>
  <si>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</si>
  <si>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</si>
  <si>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</si>
  <si>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</si>
  <si>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</si>
  <si>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</si>
  <si>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</si>
  <si>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</si>
  <si>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</si>
  <si>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</si>
  <si>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</si>
  <si>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</si>
  <si>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</si>
  <si>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</si>
  <si>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</si>
  <si>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</si>
  <si>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</si>
  <si>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</si>
  <si>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</si>
  <si>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</si>
  <si>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</si>
  <si>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</si>
  <si>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</si>
  <si>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</si>
  <si>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</si>
  <si>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</si>
  <si>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</si>
  <si>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</si>
  <si>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</si>
  <si>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</si>
  <si>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</si>
  <si>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</si>
  <si>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</si>
  <si>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</si>
  <si>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</si>
  <si>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</si>
  <si>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</si>
  <si>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</si>
  <si>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</si>
  <si>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</si>
  <si>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</si>
  <si>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</si>
  <si>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</si>
  <si>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</si>
  <si>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</si>
  <si>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</si>
  <si>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</si>
  <si>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</si>
  <si>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</si>
  <si>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</si>
  <si>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</si>
  <si>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</si>
  <si>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</si>
  <si>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</si>
  <si>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</si>
  <si>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</si>
  <si>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</si>
  <si>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</si>
  <si>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</si>
  <si>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</si>
  <si>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</si>
  <si>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</si>
  <si>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</si>
  <si>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</si>
  <si>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</si>
  <si>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</si>
  <si>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</si>
  <si>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</si>
  <si>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</si>
  <si>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</si>
  <si>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</si>
  <si>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</si>
  <si>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</si>
  <si>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</si>
  <si>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</si>
  <si>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</si>
  <si>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</si>
  <si>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</si>
  <si>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</si>
  <si>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</si>
  <si>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</si>
  <si>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</si>
  <si>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</si>
  <si>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</si>
  <si>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</si>
  <si>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</si>
  <si>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</si>
  <si>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</si>
  <si>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</si>
  <si>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</si>
  <si>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</si>
  <si>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</si>
  <si>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</si>
  <si>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</si>
  <si>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</si>
  <si>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</si>
  <si>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</si>
  <si>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</si>
  <si>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</si>
  <si>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</si>
  <si>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</si>
  <si>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</si>
  <si>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</si>
  <si>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</si>
  <si>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</si>
  <si>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</si>
  <si>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</si>
  <si>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</si>
  <si>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</si>
  <si>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</si>
  <si>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</si>
  <si>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</si>
  <si>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</si>
  <si>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</si>
  <si>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</si>
  <si>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</si>
  <si>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</si>
  <si>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</si>
  <si>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</si>
  <si>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</si>
  <si>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</si>
  <si>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</si>
  <si>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</si>
  <si>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</si>
  <si>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</si>
  <si>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</si>
  <si>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</si>
  <si>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</si>
  <si>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</si>
  <si>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</si>
  <si>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</si>
  <si>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</si>
  <si>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</si>
  <si>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</si>
  <si>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</si>
  <si>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</si>
  <si>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</si>
  <si>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</si>
  <si>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</si>
  <si>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</si>
  <si>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</si>
  <si>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</si>
  <si>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</si>
  <si>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</si>
  <si>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</si>
  <si>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</si>
  <si>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</si>
  <si>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</si>
  <si>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</si>
  <si>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</si>
  <si>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</si>
  <si>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</si>
  <si>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</si>
  <si>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</si>
  <si>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</si>
  <si>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</si>
  <si>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</si>
  <si>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</si>
  <si>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</si>
  <si>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</si>
  <si>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</si>
  <si>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</si>
  <si>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</si>
  <si>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</si>
  <si>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</si>
  <si>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</si>
  <si>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</si>
  <si>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</si>
  <si>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</si>
  <si>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</si>
  <si>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</si>
  <si>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</si>
  <si>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</si>
  <si>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</si>
  <si>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</si>
  <si>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</si>
  <si>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</si>
  <si>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</si>
  <si>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</si>
  <si>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</si>
  <si>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</si>
  <si>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</si>
  <si>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</si>
  <si>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</si>
  <si>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</si>
  <si>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</si>
  <si>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</si>
  <si>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</si>
  <si>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</si>
  <si>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</si>
  <si>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</si>
  <si>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</si>
  <si>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</si>
  <si>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</si>
  <si>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</si>
  <si>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</si>
  <si>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</si>
  <si>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</si>
  <si>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</si>
  <si>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</si>
  <si>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</si>
  <si>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</si>
  <si>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</si>
  <si>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</si>
  <si>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</si>
  <si>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</si>
  <si>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</si>
  <si>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</si>
  <si>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</si>
  <si>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</si>
  <si>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</si>
  <si>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</si>
  <si>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</si>
  <si>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</si>
  <si>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</si>
  <si>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</si>
  <si>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</si>
  <si>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</si>
  <si>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</si>
  <si>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</si>
  <si>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</si>
  <si>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</si>
  <si>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</si>
  <si>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</si>
  <si>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</si>
  <si>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</si>
  <si>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</si>
  <si>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</si>
  <si>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</si>
  <si>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</si>
  <si>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</si>
  <si>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</si>
  <si>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</si>
  <si>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</si>
  <si>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</si>
  <si>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</si>
  <si>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</si>
  <si>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</si>
  <si>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</si>
  <si>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</si>
  <si>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</si>
  <si>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</si>
  <si>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</si>
  <si>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</si>
  <si>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</si>
  <si>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</si>
  <si>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</si>
  <si>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</si>
  <si>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</si>
  <si>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</si>
  <si>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</si>
  <si>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</si>
  <si>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</si>
  <si>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</si>
  <si>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</si>
  <si>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</si>
  <si>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</si>
  <si>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</si>
  <si>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</si>
  <si>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</si>
  <si>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</si>
  <si>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</si>
  <si>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</si>
  <si>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</si>
  <si>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</si>
  <si>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</si>
  <si>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</si>
  <si>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</si>
  <si>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</si>
  <si>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</si>
  <si>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</si>
  <si>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</si>
  <si>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</si>
  <si>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</si>
  <si>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</si>
  <si>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</si>
  <si>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</si>
  <si>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</si>
  <si>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</si>
  <si>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</si>
  <si>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</si>
  <si>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</si>
  <si>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</si>
  <si>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</si>
  <si>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</si>
  <si>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</si>
  <si>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</si>
  <si>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</si>
  <si>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</si>
  <si>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</si>
  <si>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</si>
  <si>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</si>
  <si>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</si>
  <si>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</si>
  <si>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</si>
  <si>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</si>
  <si>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</si>
  <si>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</si>
  <si>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</si>
  <si>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</si>
  <si>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</si>
  <si>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</si>
  <si>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</si>
  <si>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</si>
  <si>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</si>
  <si>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</si>
  <si>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</si>
  <si>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</si>
  <si>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</si>
  <si>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</si>
  <si>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</si>
  <si>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</si>
  <si>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</si>
  <si>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</si>
  <si>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</si>
  <si>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</si>
  <si>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</si>
  <si>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</si>
  <si>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</si>
  <si>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</si>
  <si>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</si>
  <si>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</si>
  <si>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</si>
  <si>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</si>
  <si>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</si>
  <si>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</si>
  <si>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</si>
  <si>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</si>
  <si>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</si>
  <si>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</si>
  <si>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</si>
  <si>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</si>
  <si>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</si>
  <si>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</si>
  <si>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</si>
  <si>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</si>
  <si>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</si>
  <si>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</si>
  <si>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</si>
  <si>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</si>
  <si>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</si>
  <si>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</si>
  <si>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</si>
  <si>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</si>
  <si>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</si>
  <si>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</si>
  <si>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</si>
  <si>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</si>
  <si>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</si>
  <si>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</si>
  <si>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</si>
  <si>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</si>
  <si>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</si>
  <si>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</si>
  <si>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</si>
  <si>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</si>
  <si>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</si>
  <si>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</si>
  <si>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</si>
  <si>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</si>
  <si>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</si>
  <si>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</si>
  <si>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</si>
  <si>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</si>
  <si>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</si>
  <si>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</si>
  <si>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</si>
  <si>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</si>
  <si>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</si>
  <si>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</si>
  <si>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</si>
  <si>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</si>
  <si>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</si>
  <si>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</si>
  <si>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</si>
  <si>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</si>
  <si>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</si>
  <si>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</si>
  <si>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</si>
  <si>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</si>
  <si>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</si>
  <si>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</si>
  <si>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</si>
  <si>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</si>
  <si>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</si>
  <si>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</si>
  <si>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</si>
  <si>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</si>
  <si>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</si>
  <si>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</si>
  <si>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</si>
  <si>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</si>
  <si>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</si>
  <si>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</si>
  <si>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</si>
  <si>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</si>
  <si>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</si>
  <si>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</si>
  <si>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</si>
  <si>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</si>
  <si>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</si>
  <si>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</si>
  <si>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</si>
  <si>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</si>
  <si>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</si>
  <si>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</si>
  <si>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</si>
  <si>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</si>
  <si>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</si>
  <si>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</si>
  <si>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</si>
  <si>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</si>
  <si>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</si>
  <si>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</si>
  <si>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</si>
  <si>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</si>
  <si>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</si>
  <si>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</si>
  <si>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</si>
  <si>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</si>
  <si>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</si>
  <si>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</si>
  <si>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</si>
  <si>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</si>
  <si>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</si>
  <si>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</si>
  <si>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</si>
  <si>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</si>
  <si>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</si>
  <si>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</si>
  <si>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</si>
  <si>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</si>
  <si>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</si>
  <si>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</si>
  <si>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</si>
  <si>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</si>
  <si>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</si>
  <si>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</si>
  <si>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</si>
  <si>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</si>
  <si>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</si>
  <si>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</si>
  <si>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</si>
  <si>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</si>
  <si>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</si>
  <si>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</si>
  <si>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</si>
  <si>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</si>
  <si>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</si>
  <si>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</si>
  <si>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</si>
  <si>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</si>
  <si>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</si>
  <si>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</si>
  <si>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</si>
  <si>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</si>
  <si>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</si>
  <si>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</si>
  <si>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</si>
  <si>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</si>
  <si>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</si>
  <si>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</si>
  <si>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</si>
  <si>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</si>
  <si>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</si>
  <si>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</si>
  <si>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</si>
  <si>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</si>
  <si>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</si>
  <si>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</si>
  <si>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</si>
  <si>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</si>
  <si>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</si>
  <si>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</si>
  <si>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</si>
  <si>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</si>
  <si>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</si>
  <si>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</si>
  <si>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</si>
  <si>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</si>
  <si>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</si>
  <si>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</si>
  <si>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</si>
  <si>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</si>
  <si>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</si>
  <si>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</si>
  <si>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</si>
  <si>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</si>
  <si>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</si>
  <si>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</si>
  <si>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</si>
  <si>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</si>
  <si>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</si>
  <si>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</si>
  <si>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</si>
  <si>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</si>
  <si>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</si>
  <si>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</si>
  <si>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</si>
  <si>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</si>
  <si>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</si>
  <si>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</si>
  <si>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</si>
  <si>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</si>
  <si>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</si>
  <si>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</si>
  <si>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</si>
  <si>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</si>
  <si>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</si>
  <si>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</si>
  <si>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</si>
  <si>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</si>
  <si>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</si>
  <si>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</si>
  <si>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</si>
  <si>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</si>
  <si>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</si>
  <si>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</si>
  <si>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</si>
  <si>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</si>
  <si>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</si>
  <si>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</si>
  <si>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</si>
  <si>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</si>
  <si>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</si>
  <si>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</si>
  <si>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</si>
  <si>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</si>
  <si>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</si>
  <si>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</si>
  <si>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</si>
  <si>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</si>
  <si>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</si>
  <si>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</si>
  <si>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</si>
  <si>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</si>
  <si>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</si>
  <si>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</si>
  <si>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</si>
  <si>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</si>
  <si>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</si>
  <si>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</si>
  <si>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</si>
  <si>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</si>
  <si>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</si>
  <si>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</si>
  <si>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</si>
  <si>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</si>
  <si>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</si>
  <si>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</si>
  <si>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</si>
  <si>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</si>
  <si>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</si>
  <si>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</si>
  <si>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</si>
  <si>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</si>
  <si>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</si>
  <si>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</si>
  <si>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</si>
  <si>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</si>
  <si>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</si>
  <si>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</si>
  <si>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</si>
  <si>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</si>
  <si>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</si>
  <si>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</si>
  <si>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</si>
  <si>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</si>
  <si>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</si>
  <si>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</si>
  <si>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</si>
  <si>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</si>
  <si>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</si>
  <si>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</si>
  <si>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</si>
  <si>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</si>
  <si>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</si>
  <si>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</si>
  <si>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</si>
  <si>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</si>
  <si>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</si>
  <si>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</si>
  <si>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</si>
  <si>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</si>
  <si>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</si>
  <si>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</si>
  <si>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</si>
  <si>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</si>
  <si>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</si>
  <si>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</si>
  <si>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</si>
  <si>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</si>
  <si>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</si>
  <si>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</si>
  <si>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</si>
  <si>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</si>
  <si>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</si>
  <si>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</si>
  <si>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</si>
  <si>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</si>
  <si>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</si>
  <si>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</si>
  <si>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</si>
  <si>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</si>
  <si>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</si>
  <si>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</si>
  <si>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</si>
  <si>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</si>
  <si>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</si>
  <si>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</si>
  <si>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</si>
  <si>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</si>
  <si>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</si>
  <si>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</si>
  <si>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</si>
  <si>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</si>
  <si>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</si>
  <si>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</si>
  <si>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</si>
  <si>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</si>
  <si>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</si>
  <si>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</si>
  <si>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</si>
  <si>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</si>
  <si>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</si>
  <si>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</si>
  <si>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</si>
  <si>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</si>
  <si>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</si>
  <si>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</si>
  <si>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</si>
  <si>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</si>
  <si>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</si>
  <si>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</si>
  <si>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</si>
  <si>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</si>
  <si>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</si>
  <si>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</si>
  <si>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</si>
  <si>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</si>
  <si>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</si>
  <si>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</si>
  <si>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</si>
  <si>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</si>
  <si>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</si>
  <si>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</si>
  <si>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</si>
  <si>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</si>
  <si>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</si>
  <si>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</si>
  <si>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</si>
  <si>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</si>
  <si>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</si>
  <si>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</si>
  <si>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</si>
  <si>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</si>
  <si>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</si>
  <si>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</si>
  <si>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</si>
  <si>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</si>
  <si>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</si>
  <si>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</si>
  <si>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</si>
  <si>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</si>
  <si>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</si>
  <si>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</si>
  <si>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</si>
  <si>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</si>
  <si>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</si>
  <si>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</si>
  <si>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</si>
  <si>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</si>
  <si>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</si>
  <si>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</si>
  <si>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</si>
  <si>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</si>
  <si>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</si>
  <si>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</si>
  <si>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</si>
  <si>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</si>
  <si>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</si>
  <si>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</si>
  <si>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</si>
  <si>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</si>
  <si>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</si>
  <si>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</si>
  <si>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</si>
  <si>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</si>
  <si>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</si>
  <si>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</si>
  <si>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</si>
  <si>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</si>
  <si>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</si>
  <si>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</si>
  <si>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</si>
  <si>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</si>
  <si>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</si>
  <si>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</si>
  <si>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</si>
  <si>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</si>
  <si>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</si>
  <si>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</si>
  <si>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</si>
  <si>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</si>
  <si>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</si>
  <si>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</si>
  <si>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</si>
  <si>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</si>
  <si>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</si>
  <si>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</si>
  <si>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</si>
  <si>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</si>
  <si>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</si>
  <si>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</si>
  <si>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</si>
  <si>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</si>
  <si>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</si>
  <si>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</si>
  <si>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</si>
  <si>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</si>
  <si>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</si>
  <si>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</si>
  <si>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</si>
  <si>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</si>
  <si>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</si>
  <si>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</si>
  <si>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</si>
  <si>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</si>
  <si>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</si>
  <si>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</si>
  <si>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</si>
  <si>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</si>
  <si>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</si>
  <si>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</si>
  <si>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</si>
  <si>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</si>
  <si>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</si>
  <si>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</si>
  <si>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</si>
  <si>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</si>
  <si>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</si>
  <si>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</si>
  <si>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</si>
  <si>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</si>
  <si>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</si>
  <si>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</si>
  <si>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</si>
  <si>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</si>
  <si>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</si>
  <si>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</si>
  <si>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</si>
  <si>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</si>
  <si>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</si>
  <si>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</si>
  <si>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</si>
  <si>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</si>
  <si>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</si>
  <si>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</si>
  <si>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</si>
  <si>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</si>
  <si>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</si>
  <si>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</si>
  <si>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</si>
  <si>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</si>
  <si>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</si>
  <si>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</si>
  <si>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</si>
  <si>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</si>
  <si>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</si>
  <si>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</si>
  <si>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</si>
  <si>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</si>
  <si>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</si>
  <si>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</si>
  <si>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</si>
  <si>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</si>
  <si>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</si>
  <si>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</si>
  <si>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</si>
  <si>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</si>
  <si>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</si>
  <si>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</si>
  <si>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</si>
  <si>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</si>
  <si>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</si>
  <si>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</si>
  <si>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</si>
  <si>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</si>
  <si>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</si>
  <si>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</si>
  <si>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</si>
  <si>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</si>
  <si>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</si>
  <si>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</si>
  <si>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</si>
  <si>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</si>
  <si>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</si>
  <si>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</si>
  <si>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</si>
  <si>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</si>
  <si>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</si>
  <si>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</si>
  <si>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</si>
  <si>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</si>
  <si>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</si>
  <si>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</si>
  <si>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</si>
  <si>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</si>
  <si>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</si>
  <si>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</si>
  <si>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</si>
  <si>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</si>
  <si>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</si>
  <si>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</si>
  <si>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</si>
  <si>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</si>
  <si>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</si>
  <si>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</si>
  <si>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</si>
  <si>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</si>
  <si>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</si>
  <si>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</si>
  <si>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</si>
  <si>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</si>
  <si>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</si>
  <si>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</si>
  <si>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</si>
  <si>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</si>
  <si>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</si>
  <si>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</si>
  <si>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</si>
  <si>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</si>
  <si>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</si>
  <si>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</si>
  <si>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</si>
  <si>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</si>
  <si>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</si>
  <si>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</si>
  <si>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</si>
  <si>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</si>
  <si>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</si>
  <si>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</si>
  <si>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</si>
  <si>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</si>
  <si>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</si>
  <si>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</si>
  <si>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</si>
  <si>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</si>
  <si>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</si>
  <si>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</si>
  <si>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</si>
  <si>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</si>
  <si>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</si>
  <si>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</si>
  <si>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</si>
  <si>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</si>
  <si>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</si>
  <si>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</si>
  <si>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</si>
  <si>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</si>
  <si>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</si>
  <si>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</si>
  <si>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</si>
  <si>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</si>
  <si>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</si>
  <si>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</si>
  <si>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</si>
  <si>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</si>
  <si>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</si>
  <si>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</si>
  <si>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</si>
  <si>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</si>
  <si>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</si>
  <si>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</si>
  <si>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</si>
  <si>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</si>
  <si>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</si>
  <si>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</si>
  <si>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</si>
  <si>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</si>
  <si>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</si>
  <si>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</si>
  <si>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</si>
  <si>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</si>
  <si>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</si>
  <si>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</si>
  <si>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</si>
  <si>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</si>
  <si>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</si>
  <si>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</si>
  <si>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</si>
  <si>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</si>
  <si>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</si>
  <si>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</si>
  <si>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</si>
  <si>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</si>
  <si>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</si>
  <si>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</si>
  <si>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</si>
  <si>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</si>
  <si>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</si>
  <si>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</si>
  <si>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</si>
  <si>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</si>
  <si>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</si>
  <si>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</si>
  <si>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</si>
  <si>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</si>
  <si>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</si>
  <si>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</si>
  <si>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</si>
  <si>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</si>
  <si>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</si>
  <si>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</si>
  <si>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</si>
  <si>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</si>
  <si>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</si>
  <si>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</si>
  <si>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</si>
  <si>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</si>
  <si>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</si>
  <si>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</si>
  <si>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</si>
  <si>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</si>
  <si>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</si>
  <si>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</si>
  <si>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</si>
  <si>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</si>
  <si>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</si>
  <si>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</si>
  <si>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</si>
  <si>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</si>
  <si>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</si>
  <si>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</si>
  <si>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</si>
  <si>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</si>
  <si>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</si>
  <si>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</si>
  <si>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</si>
  <si>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</si>
  <si>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</si>
  <si>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</si>
  <si>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</si>
  <si>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</si>
  <si>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</si>
  <si>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</si>
  <si>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</si>
  <si>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</si>
  <si>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</si>
  <si>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</si>
  <si>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</si>
  <si>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</si>
  <si>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</si>
  <si>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</si>
  <si>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</si>
  <si>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</si>
  <si>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</si>
  <si>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</si>
  <si>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</si>
  <si>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</si>
  <si>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</si>
  <si>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</si>
  <si>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</si>
  <si>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</si>
  <si>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</si>
  <si>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</si>
  <si>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</si>
  <si>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</si>
  <si>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</si>
  <si>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</si>
  <si>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</si>
  <si>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</si>
  <si>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</si>
  <si>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</si>
  <si>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</si>
  <si>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</si>
  <si>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</si>
  <si>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</si>
  <si>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</si>
  <si>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</si>
  <si>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</si>
  <si>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</si>
  <si>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</si>
  <si>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</si>
  <si>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</si>
  <si>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</si>
  <si>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</si>
  <si>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</si>
  <si>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</si>
  <si>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</si>
  <si>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</si>
  <si>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</si>
  <si>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</si>
  <si>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</si>
  <si>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</si>
  <si>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</si>
  <si>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</si>
  <si>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</si>
  <si>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</si>
  <si>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</si>
  <si>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</si>
  <si>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</si>
  <si>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</si>
  <si>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</si>
  <si>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</si>
  <si>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</si>
  <si>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</si>
  <si>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</si>
  <si>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</si>
  <si>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</si>
  <si>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</si>
  <si>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</si>
  <si>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</si>
  <si>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</si>
  <si>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</si>
  <si>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</si>
  <si>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</si>
  <si>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</si>
  <si>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</si>
  <si>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</si>
  <si>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</si>
  <si>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</si>
  <si>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</si>
  <si>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</si>
  <si>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</si>
  <si>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</si>
  <si>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</si>
  <si>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</si>
  <si>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</si>
  <si>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</si>
  <si>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</si>
  <si>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</si>
  <si>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</si>
  <si>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</si>
  <si>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</si>
  <si>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</si>
  <si>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</si>
  <si>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</si>
  <si>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</si>
  <si>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</si>
  <si>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</si>
  <si>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</si>
  <si>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</si>
  <si>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</si>
  <si>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</si>
  <si>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</si>
  <si>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</si>
  <si>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</si>
  <si>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</si>
  <si>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</si>
  <si>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</si>
  <si>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</si>
  <si>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</si>
  <si>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</si>
  <si>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</si>
  <si>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</si>
  <si>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</si>
  <si>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</si>
  <si>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</si>
  <si>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</si>
  <si>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</si>
  <si>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</si>
  <si>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</si>
  <si>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</si>
  <si>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</si>
  <si>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</si>
  <si>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</si>
  <si>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</si>
  <si>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</si>
  <si>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</si>
  <si>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</si>
  <si>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</si>
  <si>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</si>
  <si>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</si>
  <si>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</si>
  <si>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</si>
  <si>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</si>
  <si>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</si>
  <si>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</si>
  <si>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</si>
  <si>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</si>
  <si>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</si>
  <si>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</si>
  <si>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</si>
  <si>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</si>
  <si>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</si>
  <si>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</si>
  <si>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</si>
  <si>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</si>
  <si>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</si>
  <si>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</si>
  <si>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</si>
  <si>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</si>
  <si>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</si>
  <si>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</si>
  <si>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</si>
  <si>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</si>
  <si>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</si>
  <si>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</si>
  <si>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</si>
  <si>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</si>
  <si>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</si>
  <si>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</si>
  <si>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</si>
  <si>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</si>
  <si>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</si>
  <si>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</si>
  <si>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</si>
  <si>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</si>
  <si>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</si>
  <si>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</si>
  <si>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</si>
  <si>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</si>
  <si>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</si>
  <si>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</si>
  <si>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</si>
  <si>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</si>
  <si>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</si>
  <si>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</si>
  <si>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</si>
  <si>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</si>
  <si>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</si>
  <si>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</si>
  <si>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</si>
  <si>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</si>
  <si>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</si>
  <si>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</si>
  <si>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</si>
  <si>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</si>
  <si>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</si>
  <si>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</si>
  <si>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</si>
  <si>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</si>
  <si>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</si>
  <si>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</si>
  <si>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</si>
  <si>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</si>
  <si>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</si>
  <si>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</si>
  <si>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</si>
  <si>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</si>
  <si>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</si>
  <si>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</si>
  <si>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</si>
  <si>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</si>
  <si>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</si>
  <si>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</si>
  <si>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</si>
  <si>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</si>
  <si>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</si>
  <si>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</si>
  <si>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</si>
  <si>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</si>
  <si>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</si>
  <si>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</si>
  <si>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</si>
  <si>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</si>
  <si>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</si>
  <si>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</si>
  <si>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</si>
  <si>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</si>
  <si>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</si>
  <si>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</si>
  <si>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</si>
  <si>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</si>
  <si>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</si>
  <si>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</si>
  <si>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</si>
  <si>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</si>
  <si>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</si>
  <si>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</si>
  <si>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</si>
  <si>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</si>
  <si>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</si>
  <si>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</si>
  <si>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</si>
  <si>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</si>
  <si>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</si>
  <si>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</si>
  <si>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</si>
  <si>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</si>
  <si>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</si>
  <si>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</si>
  <si>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</si>
  <si>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</si>
  <si>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</si>
  <si>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</si>
  <si>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</si>
  <si>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</si>
  <si>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</si>
  <si>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</si>
  <si>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</si>
  <si>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</si>
  <si>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</si>
  <si>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</si>
  <si>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</si>
  <si>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</si>
  <si>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</si>
  <si>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</si>
  <si>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</si>
  <si>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</si>
  <si>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</si>
  <si>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</si>
  <si>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</si>
  <si>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</si>
  <si>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</si>
  <si>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</si>
  <si>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</si>
  <si>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</si>
  <si>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</si>
  <si>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</si>
  <si>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</si>
  <si>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</si>
  <si>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</si>
  <si>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</si>
  <si>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</si>
  <si>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</si>
  <si>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</si>
  <si>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</si>
  <si>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</si>
  <si>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</si>
  <si>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</si>
  <si>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</si>
  <si>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</si>
  <si>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</si>
  <si>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</si>
  <si>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</si>
  <si>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</si>
  <si>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</si>
  <si>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</si>
  <si>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</si>
  <si>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</si>
  <si>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</si>
  <si>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</si>
  <si>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</si>
  <si>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</si>
  <si>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</si>
  <si>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</si>
  <si>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</si>
  <si>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</si>
  <si>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</si>
  <si>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</si>
  <si>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</si>
  <si>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</si>
  <si>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</si>
  <si>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</si>
  <si>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</si>
  <si>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</si>
  <si>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</si>
  <si>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</si>
  <si>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</si>
  <si>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</si>
  <si>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</si>
  <si>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</si>
  <si>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</si>
  <si>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</si>
  <si>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</si>
  <si>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</si>
  <si>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</si>
  <si>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</si>
  <si>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</si>
  <si>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</si>
  <si>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</si>
  <si>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</si>
  <si>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</si>
  <si>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</si>
  <si>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</si>
  <si>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</si>
  <si>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</si>
  <si>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</si>
  <si>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</si>
  <si>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</si>
  <si>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</si>
  <si>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</si>
  <si>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</si>
  <si>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</si>
  <si>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</si>
  <si>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</si>
  <si>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</si>
  <si>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</si>
  <si>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</si>
  <si>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</si>
  <si>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</si>
  <si>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</si>
  <si>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</si>
  <si>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</si>
  <si>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</si>
  <si>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</si>
  <si>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</si>
  <si>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</si>
  <si>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</si>
  <si>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</si>
  <si>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</si>
  <si>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</si>
  <si>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</si>
  <si>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</si>
  <si>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</si>
  <si>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</si>
  <si>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</si>
  <si>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</si>
  <si>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</si>
  <si>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</si>
  <si>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</si>
  <si>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</si>
  <si>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</si>
  <si>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</si>
  <si>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</si>
  <si>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</si>
  <si>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</si>
  <si>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</si>
  <si>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</si>
  <si>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</si>
  <si>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</si>
  <si>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</si>
  <si>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</si>
  <si>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</si>
  <si>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</si>
  <si>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</si>
  <si>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</si>
  <si>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</si>
  <si>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</si>
  <si>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</si>
  <si>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</si>
  <si>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</si>
  <si>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</si>
  <si>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</si>
  <si>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</si>
  <si>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</si>
  <si>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</si>
  <si>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</si>
  <si>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</si>
  <si>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</si>
  <si>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</si>
  <si>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</si>
  <si>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</si>
  <si>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</si>
  <si>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</si>
  <si>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</si>
  <si>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</si>
  <si>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</si>
  <si>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</si>
  <si>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</si>
  <si>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</si>
  <si>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</si>
  <si>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</si>
  <si>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</si>
  <si>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</si>
  <si>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</si>
  <si>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</si>
  <si>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</si>
  <si>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</si>
  <si>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</si>
  <si>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</si>
  <si>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</si>
  <si>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</si>
  <si>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</si>
  <si>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</si>
  <si>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</si>
  <si>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</si>
  <si>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</si>
  <si>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</si>
  <si>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</si>
  <si>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</si>
  <si>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</si>
  <si>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</si>
  <si>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</si>
  <si>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</si>
  <si>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</si>
  <si>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</si>
  <si>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</si>
  <si>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</si>
  <si>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</si>
  <si>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</si>
  <si>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</si>
  <si>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</si>
  <si>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</si>
  <si>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</si>
  <si>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</si>
  <si>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</si>
  <si>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</si>
  <si>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</si>
  <si>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</si>
  <si>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</si>
  <si>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</si>
  <si>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</si>
  <si>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</si>
  <si>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</si>
  <si>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</si>
  <si>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</si>
  <si>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</si>
  <si>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</si>
  <si>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</si>
  <si>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</si>
  <si>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</si>
  <si>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</si>
  <si>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</si>
  <si>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</si>
  <si>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</si>
  <si>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</si>
  <si>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</si>
  <si>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</si>
  <si>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</si>
  <si>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</si>
  <si>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</si>
  <si>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</si>
  <si>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</si>
  <si>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</si>
  <si>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</si>
  <si>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</si>
  <si>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</si>
  <si>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</si>
  <si>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</si>
  <si>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</si>
  <si>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</si>
  <si>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</si>
  <si>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</si>
  <si>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</si>
  <si>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</si>
  <si>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</si>
  <si>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</si>
  <si>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</si>
  <si>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</si>
  <si>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</si>
  <si>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</si>
  <si>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</si>
  <si>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</si>
  <si>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</si>
  <si>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</si>
  <si>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</si>
  <si>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</si>
  <si>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</si>
  <si>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</si>
  <si>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</si>
  <si>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</si>
  <si>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</si>
  <si>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</si>
  <si>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</si>
  <si>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</si>
  <si>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</si>
  <si>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</si>
  <si>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</si>
  <si>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</si>
  <si>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</si>
  <si>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</si>
  <si>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</si>
  <si>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</si>
  <si>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</si>
  <si>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</si>
  <si>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</si>
  <si>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</si>
  <si>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</si>
  <si>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</si>
  <si>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</si>
  <si>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</si>
  <si>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</si>
  <si>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</si>
  <si>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</si>
  <si>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</si>
  <si>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</si>
  <si>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</si>
  <si>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</si>
  <si>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</si>
  <si>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</si>
  <si>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</si>
  <si>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</si>
  <si>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</si>
  <si>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</si>
  <si>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</si>
  <si>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</si>
  <si>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</si>
  <si>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</si>
  <si>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</si>
  <si>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</si>
  <si>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</si>
  <si>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</si>
  <si>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</si>
  <si>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</si>
  <si>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</si>
  <si>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</si>
  <si>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</si>
  <si>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</si>
  <si>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</si>
  <si>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</si>
  <si>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</si>
  <si>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</si>
  <si>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</si>
  <si>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</si>
  <si>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</si>
  <si>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</si>
  <si>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</si>
  <si>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</si>
  <si>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</si>
  <si>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</si>
  <si>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</si>
  <si>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</si>
  <si>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</si>
  <si>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</si>
  <si>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</si>
  <si>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</si>
  <si>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</si>
  <si>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</si>
  <si>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</si>
  <si>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</si>
  <si>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</si>
  <si>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</si>
  <si>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</si>
  <si>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</si>
  <si>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</si>
  <si>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</si>
  <si>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</si>
  <si>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</si>
  <si>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</si>
  <si>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</si>
  <si>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</si>
  <si>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</si>
  <si>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</si>
  <si>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</si>
  <si>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</si>
  <si>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</si>
  <si>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</si>
  <si>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</si>
  <si>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</si>
  <si>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</si>
  <si>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</si>
  <si>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</si>
  <si>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</si>
  <si>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</si>
  <si>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</si>
  <si>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</si>
  <si>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</si>
  <si>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</si>
  <si>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</si>
  <si>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</si>
  <si>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</si>
  <si>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</si>
  <si>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</si>
  <si>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</si>
  <si>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</si>
  <si>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</si>
  <si>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</si>
  <si>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</si>
  <si>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</si>
  <si>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</si>
  <si>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</si>
  <si>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</si>
  <si>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</si>
  <si>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</si>
  <si>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</si>
  <si>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</si>
  <si>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</si>
  <si>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</si>
  <si>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</si>
  <si>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</si>
  <si>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</si>
  <si>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</si>
  <si>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</si>
  <si>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</si>
  <si>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</si>
  <si>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</si>
  <si>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</si>
  <si>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</si>
  <si>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</si>
  <si>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</si>
  <si>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</si>
  <si>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</si>
  <si>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</si>
  <si>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</si>
  <si>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</si>
  <si>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</si>
  <si>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</si>
  <si>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</si>
  <si>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</si>
  <si>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</si>
  <si>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</si>
  <si>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</si>
  <si>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</si>
  <si>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</si>
  <si>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</si>
  <si>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</si>
  <si>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</si>
  <si>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</si>
  <si>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</si>
  <si>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</si>
  <si>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</si>
  <si>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</si>
  <si>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</si>
  <si>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</si>
  <si>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</si>
  <si>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</si>
  <si>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</si>
  <si>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</si>
  <si>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</si>
  <si>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</si>
  <si>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</si>
  <si>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</si>
  <si>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</si>
  <si>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</si>
  <si>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</si>
  <si>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</si>
  <si>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</si>
  <si>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</si>
  <si>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</si>
  <si>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</si>
  <si>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</si>
  <si>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</si>
  <si>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</si>
  <si>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</si>
  <si>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</si>
  <si>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</si>
  <si>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</si>
  <si>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</si>
  <si>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</si>
  <si>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</si>
  <si>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</si>
  <si>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</si>
  <si>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</si>
  <si>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</si>
  <si>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</si>
  <si>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</si>
  <si>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</si>
  <si>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</si>
  <si>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</si>
  <si>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</si>
  <si>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</si>
  <si>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</si>
  <si>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</si>
  <si>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</si>
  <si>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</si>
  <si>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</si>
  <si>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</si>
  <si>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</si>
  <si>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</si>
  <si>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</si>
  <si>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</si>
  <si>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</si>
  <si>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</si>
  <si>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</si>
  <si>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</si>
  <si>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</si>
  <si>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</si>
  <si>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</si>
  <si>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</si>
  <si>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</si>
  <si>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</si>
  <si>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</si>
  <si>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</si>
  <si>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</si>
  <si>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</si>
  <si>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</si>
  <si>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</si>
  <si>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</si>
  <si>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</si>
  <si>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</si>
  <si>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</si>
  <si>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</si>
  <si>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</si>
  <si>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</si>
  <si>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</si>
  <si>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</si>
  <si>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</si>
  <si>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</si>
  <si>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</si>
  <si>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</si>
  <si>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</si>
  <si>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</si>
  <si>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</si>
  <si>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</si>
  <si>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</si>
  <si>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</si>
  <si>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</si>
  <si>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</si>
  <si>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</si>
  <si>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</si>
  <si>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</si>
  <si>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</si>
  <si>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</si>
  <si>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</si>
  <si>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</si>
  <si>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</si>
  <si>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</si>
  <si>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</si>
  <si>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</si>
  <si>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</si>
  <si>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</si>
  <si>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</si>
  <si>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</si>
  <si>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</si>
  <si>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</si>
  <si>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</si>
  <si>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</si>
  <si>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</si>
  <si>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</si>
  <si>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</si>
  <si>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</si>
  <si>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</si>
  <si>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</si>
  <si>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</si>
  <si>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</si>
  <si>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</si>
  <si>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</si>
  <si>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</si>
  <si>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</si>
  <si>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</si>
  <si>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</si>
  <si>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</si>
  <si>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</si>
  <si>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</si>
  <si>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</si>
  <si>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</si>
  <si>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</si>
  <si>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</si>
  <si>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</si>
  <si>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</si>
  <si>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</si>
  <si>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</si>
  <si>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</si>
  <si>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</si>
  <si>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</si>
  <si>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</si>
  <si>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</si>
  <si>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</si>
  <si>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</si>
  <si>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</si>
  <si>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</si>
  <si>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</si>
  <si>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</si>
  <si>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</si>
  <si>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</si>
  <si>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</si>
  <si>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</si>
  <si>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</si>
  <si>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</si>
  <si>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</si>
  <si>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</si>
  <si>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</si>
  <si>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</si>
  <si>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</si>
  <si>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</si>
  <si>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</si>
  <si>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</si>
  <si>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</si>
  <si>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</si>
  <si>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</si>
  <si>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</si>
  <si>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</si>
  <si>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</si>
  <si>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</si>
  <si>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</si>
  <si>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</si>
  <si>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</si>
  <si>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</si>
  <si>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</si>
  <si>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</si>
  <si>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</si>
  <si>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</si>
  <si>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</si>
  <si>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</si>
  <si>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</si>
  <si>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</si>
  <si>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</si>
  <si>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</si>
  <si>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</si>
  <si>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</si>
  <si>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</si>
  <si>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</si>
  <si>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</si>
  <si>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</si>
  <si>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</si>
  <si>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</si>
  <si>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</si>
  <si>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</si>
  <si>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</si>
  <si>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</si>
  <si>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</si>
  <si>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</si>
  <si>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</si>
  <si>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</si>
  <si>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</si>
  <si>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</si>
  <si>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</si>
  <si>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</si>
  <si>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</si>
  <si>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</si>
  <si>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</si>
  <si>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</si>
  <si>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</si>
  <si>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</si>
  <si>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</si>
  <si>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</si>
  <si>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</si>
  <si>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</si>
  <si>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</si>
  <si>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</si>
  <si>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</si>
  <si>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</si>
  <si>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</si>
  <si>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</si>
  <si>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</si>
  <si>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</si>
  <si>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</si>
  <si>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</si>
  <si>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</si>
  <si>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</si>
  <si>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</si>
  <si>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</si>
  <si>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</si>
  <si>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</si>
  <si>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</si>
  <si>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</si>
  <si>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</si>
  <si>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</si>
  <si>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</si>
  <si>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</si>
  <si>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</si>
  <si>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</si>
  <si>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</si>
  <si>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</si>
  <si>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</si>
  <si>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</si>
  <si>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</si>
  <si>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</si>
  <si>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</si>
  <si>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</si>
  <si>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</si>
  <si>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</si>
  <si>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</si>
  <si>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</si>
  <si>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</si>
  <si>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</si>
  <si>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</si>
  <si>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</si>
  <si>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</si>
  <si>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</si>
  <si>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</si>
  <si>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</si>
  <si>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</si>
  <si>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</si>
  <si>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</si>
  <si>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</si>
  <si>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</si>
  <si>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</si>
  <si>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</si>
  <si>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</si>
  <si>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</si>
  <si>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</si>
  <si>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</si>
  <si>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</si>
  <si>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</si>
  <si>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</si>
  <si>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</si>
  <si>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</si>
  <si>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</si>
  <si>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</si>
  <si>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</si>
  <si>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</si>
  <si>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</si>
  <si>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</si>
  <si>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</si>
  <si>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</si>
  <si>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</si>
  <si>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</si>
  <si>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</si>
  <si>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</si>
  <si>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</si>
  <si>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</si>
  <si>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</si>
  <si>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</si>
  <si>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</si>
  <si>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</si>
  <si>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</si>
  <si>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</si>
  <si>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</si>
  <si>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</si>
  <si>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</si>
  <si>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</si>
  <si>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</si>
  <si>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</si>
  <si>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</si>
  <si>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</si>
  <si>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</si>
  <si>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</si>
  <si>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</si>
  <si>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</si>
  <si>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</si>
  <si>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</si>
  <si>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</si>
  <si>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</si>
  <si>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</si>
  <si>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</si>
  <si>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</si>
  <si>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سود هر سهم 1399</t>
  </si>
  <si>
    <t>2/3/1400</t>
  </si>
  <si>
    <t>تفاوت سود طرح حامی در حساب ایلیا</t>
  </si>
  <si>
    <t>بدهی به مهدی دستی 2/3/1400</t>
  </si>
  <si>
    <t>3/3/1400</t>
  </si>
  <si>
    <t>خرید اضافی وغدیر حساب ایلیا</t>
  </si>
  <si>
    <t>انبار سکه صادرات سامانه نوبت دهی</t>
  </si>
  <si>
    <t>ومهان 27674 تا 1275</t>
  </si>
  <si>
    <t>4/3/1400</t>
  </si>
  <si>
    <t>پارسان 1640 تا 1711</t>
  </si>
  <si>
    <t>وغدیر 10119 تا 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</si>
</sst>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6"/>
  <sheetViews>
    <sheetView tabSelected="1" zoomScale="85" zoomScaleNormal="85" workbookViewId="0">
      <selection activeCell="D20" sqref="D20"/>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6548</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14500</v>
      </c>
      <c r="L2" s="194">
        <f>B2*K2/$O$2</f>
        <v>224.41642024999999</v>
      </c>
      <c r="O2">
        <v>72000000000</v>
      </c>
      <c r="P2">
        <v>27416800780</v>
      </c>
      <c r="Q2">
        <v>40500000000</v>
      </c>
    </row>
    <row r="3" spans="1:25">
      <c r="A3" s="323" t="s">
        <v>4838</v>
      </c>
      <c r="B3" s="323">
        <v>5320000000</v>
      </c>
      <c r="C3" s="187">
        <v>80</v>
      </c>
      <c r="D3" s="187">
        <f>B3*C3/$O$2</f>
        <v>5.9111111111111114</v>
      </c>
      <c r="E3" s="323">
        <v>170</v>
      </c>
      <c r="F3" s="323">
        <f>B3*E3/$O$2</f>
        <v>12.561111111111112</v>
      </c>
      <c r="G3" s="219">
        <v>220</v>
      </c>
      <c r="H3" s="219">
        <f t="shared" ref="H3:H5" si="0">B3*G3/$O$2</f>
        <v>16.255555555555556</v>
      </c>
      <c r="I3" s="189"/>
      <c r="J3" s="189"/>
      <c r="K3" s="189">
        <v>3950</v>
      </c>
      <c r="L3" s="189">
        <f>B3*K3/$O$2</f>
        <v>291.86111111111109</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2000</v>
      </c>
      <c r="L4" s="189">
        <f>B4*K4/$O$2</f>
        <v>0.22222222222222221</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14500</v>
      </c>
      <c r="L6" s="194">
        <f t="shared" ref="L6:L14" si="4">B6*K6*$P$3/$O$2</f>
        <v>153.25449664350234</v>
      </c>
      <c r="M6">
        <f>B6*E6/$Q$2</f>
        <v>61.063771565432098</v>
      </c>
      <c r="N6" s="94">
        <f>B6*G6/$Q$2</f>
        <v>77.717527446913579</v>
      </c>
      <c r="O6" s="94">
        <f>B6*C6/$Q$2</f>
        <v>26.368446812345677</v>
      </c>
      <c r="P6" s="94">
        <f>B6*K6/$Q$2</f>
        <v>402.46576713580248</v>
      </c>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9600</v>
      </c>
      <c r="L7" s="189">
        <f t="shared" si="4"/>
        <v>50.212584137503278</v>
      </c>
      <c r="M7" s="94">
        <f t="shared" ref="M7:M14" si="6">B7*E7/$Q$2</f>
        <v>17.787988005925925</v>
      </c>
      <c r="N7" s="94">
        <f t="shared" ref="N7:N14" si="7">B7*G7/$Q$2</f>
        <v>24.724616533333332</v>
      </c>
      <c r="O7" s="94">
        <f t="shared" ref="O7:O14" si="8">B7*C7/$Q$2</f>
        <v>0.96151286518518519</v>
      </c>
      <c r="P7" s="94">
        <f t="shared" ref="P7:P14" si="9">B7*K7/$Q$2</f>
        <v>131.86462151111112</v>
      </c>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2000</v>
      </c>
      <c r="L8" s="189">
        <f t="shared" si="4"/>
        <v>82.26645547859718</v>
      </c>
      <c r="M8" s="94">
        <f t="shared" si="6"/>
        <v>30.35392314002469</v>
      </c>
      <c r="N8" s="94">
        <f t="shared" si="7"/>
        <v>41.048009940246914</v>
      </c>
      <c r="O8" s="94">
        <f t="shared" si="8"/>
        <v>4.5368853091851848</v>
      </c>
      <c r="P8" s="94">
        <f t="shared" si="9"/>
        <v>216.04215758024691</v>
      </c>
      <c r="Q8" s="94"/>
      <c r="R8" s="94"/>
      <c r="S8" s="94"/>
      <c r="T8" s="94"/>
      <c r="U8" s="94"/>
      <c r="V8" s="94"/>
      <c r="W8" s="94"/>
      <c r="X8" s="94"/>
      <c r="Y8" s="94"/>
    </row>
    <row r="9" spans="1:25">
      <c r="A9" s="189" t="s">
        <v>4845</v>
      </c>
      <c r="B9" s="189">
        <v>4126766661</v>
      </c>
      <c r="C9" s="187">
        <v>680</v>
      </c>
      <c r="D9" s="187">
        <f t="shared" si="1"/>
        <v>26.384452263005592</v>
      </c>
      <c r="E9" s="189">
        <v>1900</v>
      </c>
      <c r="F9" s="189">
        <f t="shared" si="2"/>
        <v>73.721263676045027</v>
      </c>
      <c r="G9" s="219">
        <v>2000</v>
      </c>
      <c r="H9" s="219">
        <f t="shared" si="5"/>
        <v>77.601330185310559</v>
      </c>
      <c r="I9" s="207"/>
      <c r="J9" s="207">
        <f t="shared" si="3"/>
        <v>0</v>
      </c>
      <c r="K9" s="207">
        <v>9500</v>
      </c>
      <c r="L9" s="207">
        <f t="shared" si="4"/>
        <v>368.60631838022516</v>
      </c>
      <c r="M9" s="94">
        <f t="shared" si="6"/>
        <v>193.60139891111112</v>
      </c>
      <c r="N9" s="94">
        <f t="shared" si="7"/>
        <v>203.79094622222223</v>
      </c>
      <c r="O9" s="94">
        <f t="shared" si="8"/>
        <v>69.28892171555556</v>
      </c>
      <c r="P9" s="94">
        <f t="shared" si="9"/>
        <v>968.00699455555559</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4900</v>
      </c>
      <c r="L10" s="195">
        <f t="shared" si="4"/>
        <v>124.07679351723223</v>
      </c>
      <c r="M10" s="94">
        <f t="shared" si="6"/>
        <v>41.228913606913579</v>
      </c>
      <c r="N10" s="94">
        <f t="shared" si="7"/>
        <v>49.873685814814813</v>
      </c>
      <c r="O10" s="94">
        <f t="shared" si="8"/>
        <v>1.3299649550617283</v>
      </c>
      <c r="P10" s="94">
        <f t="shared" si="9"/>
        <v>325.84141399012344</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2400</v>
      </c>
      <c r="L11" s="189">
        <f t="shared" si="4"/>
        <v>111.78826977109402</v>
      </c>
      <c r="M11" s="94">
        <f t="shared" si="6"/>
        <v>36.696273792592592</v>
      </c>
      <c r="N11" s="94">
        <f t="shared" si="7"/>
        <v>42.81231942469136</v>
      </c>
      <c r="O11" s="94">
        <f t="shared" si="8"/>
        <v>8.5624638849382713</v>
      </c>
      <c r="P11" s="94">
        <f t="shared" si="9"/>
        <v>293.57019034074074</v>
      </c>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3000</v>
      </c>
      <c r="L12" s="189">
        <f t="shared" si="4"/>
        <v>46.170670874237615</v>
      </c>
      <c r="M12" s="94">
        <f t="shared" si="6"/>
        <v>14.226671838024691</v>
      </c>
      <c r="N12" s="94">
        <f t="shared" si="7"/>
        <v>17.379172983950617</v>
      </c>
      <c r="O12" s="94">
        <f t="shared" si="8"/>
        <v>2.4250008814814814</v>
      </c>
      <c r="P12" s="94">
        <f t="shared" si="9"/>
        <v>121.25004407407407</v>
      </c>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20500</v>
      </c>
      <c r="L13" s="189">
        <f t="shared" si="4"/>
        <v>156.83346055362543</v>
      </c>
      <c r="M13" s="94">
        <f t="shared" si="6"/>
        <v>51.312299479901235</v>
      </c>
      <c r="N13" s="94">
        <f t="shared" si="7"/>
        <v>90.409298222222219</v>
      </c>
      <c r="O13" s="94">
        <f t="shared" si="8"/>
        <v>22.100050676543209</v>
      </c>
      <c r="P13" s="94">
        <f t="shared" si="9"/>
        <v>411.86458079012345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6300</v>
      </c>
      <c r="L14" s="189">
        <f t="shared" si="4"/>
        <v>14.035931096460128</v>
      </c>
      <c r="M14" s="94">
        <f t="shared" si="6"/>
        <v>4.6982047919753089</v>
      </c>
      <c r="N14" s="94">
        <f t="shared" si="7"/>
        <v>5.8508154320987655</v>
      </c>
      <c r="O14" s="94">
        <f t="shared" si="8"/>
        <v>2.4573424814814815</v>
      </c>
      <c r="P14" s="94">
        <f t="shared" si="9"/>
        <v>36.860137222222221</v>
      </c>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6543</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6545</v>
      </c>
      <c r="B17" s="189">
        <v>325000000</v>
      </c>
      <c r="C17" s="187">
        <v>1050</v>
      </c>
      <c r="D17" s="187">
        <f t="shared" ref="D17:D18" si="10">B17*C17/$O$2</f>
        <v>4.739583333333333</v>
      </c>
      <c r="E17" s="189">
        <v>2900</v>
      </c>
      <c r="F17" s="189">
        <f t="shared" ref="F17:F18" si="11">B17*E17/$O$2</f>
        <v>13.090277777777779</v>
      </c>
      <c r="G17" s="187" t="s">
        <v>25</v>
      </c>
      <c r="H17" s="187"/>
      <c r="I17" s="187"/>
      <c r="J17" s="187"/>
      <c r="K17" s="187"/>
      <c r="L17" s="187"/>
      <c r="M17" s="94"/>
      <c r="N17" s="94"/>
      <c r="O17" t="s">
        <v>25</v>
      </c>
      <c r="P17" s="94"/>
      <c r="Q17" s="94"/>
      <c r="R17" s="94"/>
      <c r="S17" s="94"/>
      <c r="T17" s="94"/>
      <c r="U17" s="94"/>
      <c r="V17" s="94"/>
      <c r="W17" s="94"/>
    </row>
    <row r="18" spans="1:34" ht="45">
      <c r="A18" s="324" t="s">
        <v>6544</v>
      </c>
      <c r="B18" s="323">
        <v>0.45</v>
      </c>
      <c r="C18" s="187">
        <v>550000000000</v>
      </c>
      <c r="D18" s="187">
        <f t="shared" si="10"/>
        <v>3.4375</v>
      </c>
      <c r="E18" s="323">
        <v>1460000000000</v>
      </c>
      <c r="F18" s="323">
        <f t="shared" si="11"/>
        <v>9.125</v>
      </c>
      <c r="G18" s="187"/>
      <c r="H18" s="187"/>
      <c r="I18" s="187"/>
      <c r="J18" s="187"/>
      <c r="K18" s="187"/>
      <c r="L18" s="187"/>
      <c r="M18" s="94"/>
      <c r="N18" s="94"/>
      <c r="P18" s="94"/>
      <c r="Q18" s="94"/>
      <c r="R18" s="94"/>
      <c r="S18" s="94"/>
      <c r="T18" s="94"/>
      <c r="U18" s="94"/>
      <c r="V18" s="94"/>
      <c r="W18" s="94"/>
    </row>
    <row r="19" spans="1:34">
      <c r="A19" s="207" t="s">
        <v>5881</v>
      </c>
      <c r="B19" s="207"/>
      <c r="C19" s="187"/>
      <c r="D19" s="187">
        <v>15</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102.06985555429922</v>
      </c>
      <c r="E24" s="207"/>
      <c r="F24" s="207">
        <f>SUM(F2:F21)</f>
        <v>279.72249116456214</v>
      </c>
      <c r="G24" s="207"/>
      <c r="H24" s="207">
        <f>SUM(H2:H21)</f>
        <v>345.44053127445079</v>
      </c>
      <c r="I24" s="207"/>
      <c r="J24" s="207"/>
      <c r="K24" s="207"/>
      <c r="L24" s="207">
        <f>SUM(L2:L22)</f>
        <v>2533.7447340358108</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0.4601884255888582</v>
      </c>
      <c r="O27" s="97" t="s">
        <v>180</v>
      </c>
      <c r="P27" s="97" t="s">
        <v>267</v>
      </c>
      <c r="Q27" s="97" t="s">
        <v>4912</v>
      </c>
      <c r="R27" s="97"/>
      <c r="S27" s="97"/>
      <c r="T27" s="97"/>
      <c r="U27" s="94"/>
      <c r="V27" s="94"/>
      <c r="W27" s="207" t="s">
        <v>6520</v>
      </c>
      <c r="X27" s="207" t="s">
        <v>25</v>
      </c>
      <c r="Y27" s="207"/>
      <c r="Z27" s="207"/>
      <c r="AA27" s="97"/>
      <c r="AB27" s="207" t="s">
        <v>6521</v>
      </c>
      <c r="AC27" s="207"/>
      <c r="AD27" s="207"/>
      <c r="AE27" s="207"/>
      <c r="AF27" s="207"/>
    </row>
    <row r="28" spans="1:34">
      <c r="O28" s="97" t="s">
        <v>4905</v>
      </c>
      <c r="P28" s="18">
        <v>7500000</v>
      </c>
      <c r="Q28" s="97">
        <v>4</v>
      </c>
      <c r="R28" s="97">
        <f>Q28+R29</f>
        <v>720</v>
      </c>
      <c r="S28" s="97">
        <f>P28*R28</f>
        <v>5400000000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2">Q29+R30</f>
        <v>716</v>
      </c>
      <c r="S29" s="97">
        <f t="shared" ref="S29:S92" si="13">P29*R29</f>
        <v>-358000000</v>
      </c>
      <c r="T29" s="97"/>
      <c r="U29" s="94"/>
      <c r="V29" s="94"/>
      <c r="W29" s="207" t="s">
        <v>6491</v>
      </c>
      <c r="X29" s="18">
        <v>55000000</v>
      </c>
      <c r="Y29" s="207">
        <v>1</v>
      </c>
      <c r="Z29" s="207">
        <f>Y29+Z30</f>
        <v>12</v>
      </c>
      <c r="AA29" s="18">
        <f>X29*Z29</f>
        <v>660000000</v>
      </c>
      <c r="AB29" s="207" t="s">
        <v>6519</v>
      </c>
      <c r="AC29" s="18">
        <v>197440000</v>
      </c>
      <c r="AD29" s="207">
        <v>11</v>
      </c>
      <c r="AE29" s="18">
        <f>AC29*AD29</f>
        <v>2171840000</v>
      </c>
      <c r="AF29" s="207"/>
    </row>
    <row r="30" spans="1:34">
      <c r="O30" s="97" t="s">
        <v>4919</v>
      </c>
      <c r="P30" s="18">
        <v>-7000000</v>
      </c>
      <c r="Q30" s="97">
        <v>1</v>
      </c>
      <c r="R30" s="97">
        <f t="shared" si="12"/>
        <v>709</v>
      </c>
      <c r="S30" s="97">
        <f t="shared" si="13"/>
        <v>-4963000000</v>
      </c>
      <c r="T30" s="97"/>
      <c r="U30" s="94"/>
      <c r="V30" s="94"/>
      <c r="W30" s="207" t="s">
        <v>6522</v>
      </c>
      <c r="X30" s="18">
        <v>50000000</v>
      </c>
      <c r="Y30" s="207">
        <v>1</v>
      </c>
      <c r="Z30" s="207">
        <f t="shared" ref="Z30:Z43" si="14">Y30+Z31</f>
        <v>11</v>
      </c>
      <c r="AA30" s="18">
        <f t="shared" ref="AA30:AA43" si="15">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2"/>
        <v>708</v>
      </c>
      <c r="S31" s="97">
        <f t="shared" si="13"/>
        <v>1416000000</v>
      </c>
      <c r="T31" s="97"/>
      <c r="U31" s="94"/>
      <c r="V31" s="94"/>
      <c r="W31" s="207" t="s">
        <v>6523</v>
      </c>
      <c r="X31" s="18">
        <v>50000000</v>
      </c>
      <c r="Y31" s="207">
        <v>2</v>
      </c>
      <c r="Z31" s="207">
        <f t="shared" si="14"/>
        <v>10</v>
      </c>
      <c r="AA31" s="18">
        <f t="shared" si="15"/>
        <v>500000000</v>
      </c>
      <c r="AB31" s="207"/>
      <c r="AC31" s="18"/>
      <c r="AD31" s="207"/>
      <c r="AE31" s="207"/>
      <c r="AF31" s="207"/>
      <c r="AH31" t="s">
        <v>25</v>
      </c>
    </row>
    <row r="32" spans="1:34">
      <c r="C32" s="94" t="s">
        <v>5097</v>
      </c>
      <c r="D32" s="94">
        <v>1306</v>
      </c>
      <c r="E32">
        <v>0.53500000000000003</v>
      </c>
      <c r="F32">
        <f t="shared" ref="F32:F38" si="16">D32*E32*$D$43</f>
        <v>698710000</v>
      </c>
      <c r="G32">
        <f>F32*11400/1000000000</f>
        <v>7965.2939999999999</v>
      </c>
      <c r="J32" t="s">
        <v>25</v>
      </c>
      <c r="O32" s="97" t="s">
        <v>4936</v>
      </c>
      <c r="P32" s="18">
        <v>1000000</v>
      </c>
      <c r="Q32" s="97">
        <v>3</v>
      </c>
      <c r="R32" s="97">
        <f t="shared" si="12"/>
        <v>702</v>
      </c>
      <c r="S32" s="97">
        <f t="shared" si="13"/>
        <v>702000000</v>
      </c>
      <c r="T32" s="97"/>
      <c r="U32" s="94"/>
      <c r="V32" s="94"/>
      <c r="W32" s="207" t="s">
        <v>6499</v>
      </c>
      <c r="X32" s="18">
        <v>680000</v>
      </c>
      <c r="Y32" s="207">
        <v>1</v>
      </c>
      <c r="Z32" s="207">
        <f t="shared" si="14"/>
        <v>8</v>
      </c>
      <c r="AA32" s="18">
        <f t="shared" si="15"/>
        <v>5440000</v>
      </c>
      <c r="AB32" s="207"/>
      <c r="AC32" s="18"/>
      <c r="AD32" s="207"/>
      <c r="AE32" s="207"/>
      <c r="AF32" s="207"/>
    </row>
    <row r="33" spans="1:33">
      <c r="B33" s="94"/>
      <c r="C33" s="94" t="s">
        <v>5103</v>
      </c>
      <c r="D33" s="94">
        <v>10</v>
      </c>
      <c r="E33" s="94">
        <v>0.5</v>
      </c>
      <c r="F33" s="94">
        <f t="shared" si="16"/>
        <v>5000000</v>
      </c>
      <c r="G33" s="94">
        <f t="shared" ref="G33:G38" si="17">F33*11400/1000000000</f>
        <v>57</v>
      </c>
      <c r="O33" s="97" t="s">
        <v>4943</v>
      </c>
      <c r="P33" s="18">
        <v>200000</v>
      </c>
      <c r="Q33" s="97">
        <v>3</v>
      </c>
      <c r="R33" s="97">
        <f t="shared" si="12"/>
        <v>699</v>
      </c>
      <c r="S33" s="97">
        <f t="shared" si="13"/>
        <v>139800000</v>
      </c>
      <c r="T33" s="97"/>
      <c r="U33" s="94"/>
      <c r="V33" s="94"/>
      <c r="W33" s="207" t="s">
        <v>6524</v>
      </c>
      <c r="X33" s="18">
        <v>41483</v>
      </c>
      <c r="Y33" s="207">
        <v>1</v>
      </c>
      <c r="Z33" s="207">
        <f t="shared" si="14"/>
        <v>7</v>
      </c>
      <c r="AA33" s="18">
        <f t="shared" si="15"/>
        <v>290381</v>
      </c>
      <c r="AB33" s="207"/>
      <c r="AC33" s="18"/>
      <c r="AD33" s="207"/>
      <c r="AE33" s="207"/>
      <c r="AF33" s="207"/>
      <c r="AG33" t="s">
        <v>25</v>
      </c>
    </row>
    <row r="34" spans="1:33">
      <c r="B34" s="94"/>
      <c r="C34" s="94" t="s">
        <v>5104</v>
      </c>
      <c r="D34" s="94">
        <v>492</v>
      </c>
      <c r="E34" s="94">
        <v>0.65</v>
      </c>
      <c r="F34" s="94">
        <f t="shared" si="16"/>
        <v>319800000</v>
      </c>
      <c r="G34" s="94">
        <f t="shared" si="17"/>
        <v>3645.72</v>
      </c>
      <c r="J34" t="s">
        <v>25</v>
      </c>
      <c r="L34" t="s">
        <v>25</v>
      </c>
      <c r="O34" s="97" t="s">
        <v>4946</v>
      </c>
      <c r="P34" s="18">
        <v>-3200000</v>
      </c>
      <c r="Q34" s="97">
        <v>6</v>
      </c>
      <c r="R34" s="97">
        <f t="shared" si="12"/>
        <v>696</v>
      </c>
      <c r="S34" s="97">
        <f t="shared" si="13"/>
        <v>-2227200000</v>
      </c>
      <c r="T34" s="97"/>
      <c r="U34" s="94"/>
      <c r="V34" s="94"/>
      <c r="W34" s="207" t="s">
        <v>6525</v>
      </c>
      <c r="X34" s="18">
        <v>40000000</v>
      </c>
      <c r="Y34" s="207">
        <v>6</v>
      </c>
      <c r="Z34" s="207">
        <f t="shared" si="14"/>
        <v>6</v>
      </c>
      <c r="AA34" s="18">
        <f t="shared" si="15"/>
        <v>240000000</v>
      </c>
      <c r="AB34" s="207"/>
      <c r="AC34" s="18"/>
      <c r="AD34" s="207"/>
      <c r="AE34" s="207"/>
      <c r="AF34" s="207"/>
    </row>
    <row r="35" spans="1:33">
      <c r="A35" t="s">
        <v>5816</v>
      </c>
      <c r="B35" s="94"/>
      <c r="C35" s="94" t="s">
        <v>5105</v>
      </c>
      <c r="D35" s="94">
        <v>235</v>
      </c>
      <c r="E35" s="94">
        <v>1</v>
      </c>
      <c r="F35" s="94">
        <f t="shared" si="16"/>
        <v>235000000</v>
      </c>
      <c r="G35" s="94">
        <f t="shared" si="17"/>
        <v>2679</v>
      </c>
      <c r="O35" s="97" t="s">
        <v>4958</v>
      </c>
      <c r="P35" s="18">
        <v>6000000</v>
      </c>
      <c r="Q35" s="97">
        <v>1</v>
      </c>
      <c r="R35" s="97">
        <f t="shared" si="12"/>
        <v>690</v>
      </c>
      <c r="S35" s="97">
        <f t="shared" si="13"/>
        <v>4140000000</v>
      </c>
      <c r="T35" s="97"/>
      <c r="U35" s="94"/>
      <c r="V35" s="94"/>
      <c r="W35" s="207"/>
      <c r="X35" s="18"/>
      <c r="Y35" s="207"/>
      <c r="Z35" s="207">
        <f t="shared" si="14"/>
        <v>0</v>
      </c>
      <c r="AA35" s="18">
        <f t="shared" si="15"/>
        <v>0</v>
      </c>
      <c r="AB35" s="207"/>
      <c r="AC35" s="18"/>
      <c r="AD35" s="207"/>
      <c r="AE35" s="207"/>
      <c r="AF35" s="207"/>
    </row>
    <row r="36" spans="1:33">
      <c r="A36" s="94" t="s">
        <v>5817</v>
      </c>
      <c r="B36" s="94">
        <v>0.3</v>
      </c>
      <c r="C36" s="94" t="s">
        <v>5106</v>
      </c>
      <c r="D36" s="94">
        <v>500</v>
      </c>
      <c r="E36" s="94">
        <v>0.6</v>
      </c>
      <c r="F36" s="94">
        <f t="shared" si="16"/>
        <v>300000000</v>
      </c>
      <c r="G36" s="94">
        <f t="shared" si="17"/>
        <v>3420</v>
      </c>
      <c r="O36" s="97" t="s">
        <v>4959</v>
      </c>
      <c r="P36" s="18">
        <v>2000000</v>
      </c>
      <c r="Q36" s="97">
        <v>3</v>
      </c>
      <c r="R36" s="97">
        <f t="shared" si="12"/>
        <v>689</v>
      </c>
      <c r="S36" s="97">
        <f t="shared" si="13"/>
        <v>1378000000</v>
      </c>
      <c r="T36" s="97"/>
      <c r="U36" s="94"/>
      <c r="V36" s="94"/>
      <c r="W36" s="207"/>
      <c r="X36" s="18"/>
      <c r="Y36" s="207"/>
      <c r="Z36" s="207">
        <f t="shared" si="14"/>
        <v>0</v>
      </c>
      <c r="AA36" s="18">
        <f t="shared" si="15"/>
        <v>0</v>
      </c>
      <c r="AB36" s="207"/>
      <c r="AC36" s="18"/>
      <c r="AD36" s="207"/>
      <c r="AE36" s="207"/>
      <c r="AF36" s="207"/>
    </row>
    <row r="37" spans="1:33">
      <c r="A37" s="94" t="s">
        <v>5311</v>
      </c>
      <c r="B37" s="18">
        <v>36000000000000</v>
      </c>
      <c r="C37" s="94" t="s">
        <v>5107</v>
      </c>
      <c r="D37" s="94">
        <v>903</v>
      </c>
      <c r="E37" s="94">
        <v>1</v>
      </c>
      <c r="F37" s="94">
        <f t="shared" si="16"/>
        <v>903000000</v>
      </c>
      <c r="G37" s="94">
        <f>F37*11400/1000000000</f>
        <v>10294.200000000001</v>
      </c>
      <c r="H37">
        <v>1</v>
      </c>
      <c r="O37" s="97" t="s">
        <v>4966</v>
      </c>
      <c r="P37" s="18">
        <v>-50000</v>
      </c>
      <c r="Q37" s="97">
        <v>7</v>
      </c>
      <c r="R37" s="97">
        <f t="shared" si="12"/>
        <v>686</v>
      </c>
      <c r="S37" s="97">
        <f t="shared" si="13"/>
        <v>-34300000</v>
      </c>
      <c r="T37" s="97"/>
      <c r="U37" s="94"/>
      <c r="V37" s="94"/>
      <c r="W37" s="207"/>
      <c r="X37" s="18"/>
      <c r="Y37" s="207"/>
      <c r="Z37" s="207">
        <f t="shared" si="14"/>
        <v>0</v>
      </c>
      <c r="AA37" s="18">
        <f t="shared" si="15"/>
        <v>0</v>
      </c>
      <c r="AB37" s="207"/>
      <c r="AC37" s="18"/>
      <c r="AD37" s="207"/>
      <c r="AE37" s="207"/>
      <c r="AF37" s="207"/>
    </row>
    <row r="38" spans="1:33">
      <c r="A38" s="120" t="s">
        <v>4835</v>
      </c>
      <c r="B38" s="94">
        <v>18000000000</v>
      </c>
      <c r="E38" s="94"/>
      <c r="F38" s="94">
        <f t="shared" si="16"/>
        <v>0</v>
      </c>
      <c r="G38" s="94">
        <f t="shared" si="17"/>
        <v>0</v>
      </c>
      <c r="O38" s="97" t="s">
        <v>4972</v>
      </c>
      <c r="P38" s="18">
        <v>-2480000</v>
      </c>
      <c r="Q38" s="97">
        <v>5</v>
      </c>
      <c r="R38" s="97">
        <f t="shared" si="12"/>
        <v>679</v>
      </c>
      <c r="S38" s="97">
        <f t="shared" si="13"/>
        <v>-1683920000</v>
      </c>
      <c r="T38" s="97"/>
      <c r="U38" s="94"/>
      <c r="V38" s="94"/>
      <c r="W38" s="207"/>
      <c r="X38" s="18"/>
      <c r="Y38" s="207"/>
      <c r="Z38" s="207">
        <f t="shared" si="14"/>
        <v>0</v>
      </c>
      <c r="AA38" s="18">
        <f t="shared" si="15"/>
        <v>0</v>
      </c>
      <c r="AB38" s="207"/>
      <c r="AC38" s="18"/>
      <c r="AD38" s="207"/>
      <c r="AE38" s="207"/>
      <c r="AF38" s="207"/>
    </row>
    <row r="39" spans="1:33">
      <c r="A39" s="120" t="s">
        <v>5818</v>
      </c>
      <c r="B39" s="18">
        <f>B36*B37/B38</f>
        <v>600</v>
      </c>
      <c r="E39" s="94"/>
      <c r="F39" s="94"/>
      <c r="G39" s="94"/>
      <c r="O39" s="97" t="s">
        <v>4980</v>
      </c>
      <c r="P39" s="18">
        <v>300000</v>
      </c>
      <c r="Q39" s="97">
        <v>1</v>
      </c>
      <c r="R39" s="97">
        <f t="shared" si="12"/>
        <v>674</v>
      </c>
      <c r="S39" s="97">
        <f t="shared" si="13"/>
        <v>202200000</v>
      </c>
      <c r="T39" s="97"/>
      <c r="U39" s="94"/>
      <c r="V39" s="94"/>
      <c r="W39" s="207"/>
      <c r="X39" s="18" t="s">
        <v>25</v>
      </c>
      <c r="Y39" s="207"/>
      <c r="Z39" s="207">
        <f t="shared" si="14"/>
        <v>0</v>
      </c>
      <c r="AA39" s="18" t="e">
        <f t="shared" si="15"/>
        <v>#VALUE!</v>
      </c>
      <c r="AB39" s="207"/>
      <c r="AC39" s="18"/>
      <c r="AD39" s="207"/>
      <c r="AE39" s="207"/>
      <c r="AF39" s="207"/>
    </row>
    <row r="40" spans="1:33">
      <c r="A40" s="120" t="s">
        <v>5819</v>
      </c>
      <c r="B40" s="120">
        <v>872000000</v>
      </c>
      <c r="E40" s="94"/>
      <c r="F40" s="94"/>
      <c r="G40" s="94"/>
      <c r="O40" s="97" t="s">
        <v>4213</v>
      </c>
      <c r="P40" s="18">
        <v>300000</v>
      </c>
      <c r="Q40" s="97">
        <v>6</v>
      </c>
      <c r="R40" s="97">
        <f t="shared" si="12"/>
        <v>673</v>
      </c>
      <c r="S40" s="97">
        <f t="shared" si="13"/>
        <v>201900000</v>
      </c>
      <c r="T40" s="97"/>
      <c r="U40" s="94"/>
      <c r="V40" s="94"/>
      <c r="W40" s="207"/>
      <c r="X40" s="18"/>
      <c r="Y40" s="207"/>
      <c r="Z40" s="207">
        <f t="shared" si="14"/>
        <v>0</v>
      </c>
      <c r="AA40" s="18">
        <f t="shared" si="15"/>
        <v>0</v>
      </c>
      <c r="AB40" s="207"/>
      <c r="AC40" s="18"/>
      <c r="AD40" s="207"/>
      <c r="AE40" s="207"/>
      <c r="AF40" s="207"/>
    </row>
    <row r="41" spans="1:33">
      <c r="A41" s="120" t="s">
        <v>5820</v>
      </c>
      <c r="B41" s="18">
        <v>750</v>
      </c>
      <c r="E41" s="94"/>
      <c r="F41" s="94"/>
      <c r="O41" s="97" t="s">
        <v>4989</v>
      </c>
      <c r="P41" s="18">
        <v>500000</v>
      </c>
      <c r="Q41" s="97">
        <v>2</v>
      </c>
      <c r="R41" s="97">
        <f t="shared" si="12"/>
        <v>667</v>
      </c>
      <c r="S41" s="97">
        <f t="shared" si="13"/>
        <v>333500000</v>
      </c>
      <c r="T41" s="97"/>
      <c r="U41" s="94"/>
      <c r="V41" s="94"/>
      <c r="W41" s="207"/>
      <c r="X41" s="18"/>
      <c r="Y41" s="207"/>
      <c r="Z41" s="207">
        <f t="shared" si="14"/>
        <v>0</v>
      </c>
      <c r="AA41" s="18">
        <f t="shared" si="15"/>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2"/>
        <v>665</v>
      </c>
      <c r="S42" s="97">
        <f t="shared" si="13"/>
        <v>66500000</v>
      </c>
      <c r="T42" s="97"/>
      <c r="U42" s="94"/>
      <c r="V42" s="94"/>
      <c r="W42" s="207"/>
      <c r="X42" s="18" t="s">
        <v>25</v>
      </c>
      <c r="Y42" s="207"/>
      <c r="Z42" s="207">
        <f t="shared" si="14"/>
        <v>0</v>
      </c>
      <c r="AA42" s="18" t="e">
        <f t="shared" si="15"/>
        <v>#VALUE!</v>
      </c>
      <c r="AB42" s="207"/>
      <c r="AC42" s="18"/>
      <c r="AD42" s="207"/>
      <c r="AE42" s="207"/>
      <c r="AF42" s="207"/>
    </row>
    <row r="43" spans="1:33">
      <c r="A43" s="120"/>
      <c r="B43" s="120"/>
      <c r="C43" s="94" t="s">
        <v>5100</v>
      </c>
      <c r="D43" s="94">
        <v>1000000</v>
      </c>
      <c r="E43" s="94"/>
      <c r="F43" s="94"/>
      <c r="O43" s="97" t="s">
        <v>4996</v>
      </c>
      <c r="P43" s="18">
        <v>-6423626</v>
      </c>
      <c r="Q43" s="97">
        <v>1</v>
      </c>
      <c r="R43" s="97">
        <f t="shared" si="12"/>
        <v>664</v>
      </c>
      <c r="S43" s="97">
        <f t="shared" si="13"/>
        <v>-4265287664</v>
      </c>
      <c r="T43" s="97"/>
      <c r="U43" s="94"/>
      <c r="V43" s="94"/>
      <c r="W43" s="207"/>
      <c r="X43" s="207"/>
      <c r="Y43" s="207"/>
      <c r="Z43" s="207">
        <f t="shared" si="14"/>
        <v>0</v>
      </c>
      <c r="AA43" s="18">
        <f t="shared" si="15"/>
        <v>0</v>
      </c>
      <c r="AB43" s="207"/>
      <c r="AC43" s="207"/>
      <c r="AD43" s="207"/>
      <c r="AE43" s="207"/>
      <c r="AF43" s="207"/>
    </row>
    <row r="44" spans="1:33">
      <c r="A44" s="120"/>
      <c r="B44" s="18"/>
      <c r="C44" s="94" t="s">
        <v>5095</v>
      </c>
      <c r="D44" s="94" t="s">
        <v>5096</v>
      </c>
      <c r="E44" s="94"/>
      <c r="F44" s="94"/>
      <c r="O44" s="97" t="s">
        <v>4999</v>
      </c>
      <c r="P44" s="18">
        <v>-4592486</v>
      </c>
      <c r="Q44" s="97">
        <v>0</v>
      </c>
      <c r="R44" s="97">
        <f t="shared" si="12"/>
        <v>663</v>
      </c>
      <c r="S44" s="97">
        <f t="shared" si="13"/>
        <v>-3044818218</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2"/>
        <v>663</v>
      </c>
      <c r="S45" s="97">
        <f t="shared" si="13"/>
        <v>2881472256</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2"/>
        <v>652</v>
      </c>
      <c r="S46" s="97">
        <f t="shared" si="13"/>
        <v>978000000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2"/>
        <v>636</v>
      </c>
      <c r="S47" s="97">
        <f t="shared" si="13"/>
        <v>3816000000</v>
      </c>
      <c r="T47" s="97"/>
      <c r="U47" s="94"/>
      <c r="V47" s="94"/>
    </row>
    <row r="48" spans="1:33">
      <c r="A48" s="94"/>
      <c r="B48" s="94"/>
      <c r="E48" s="94"/>
      <c r="F48" s="94"/>
      <c r="O48" s="97" t="s">
        <v>5052</v>
      </c>
      <c r="P48" s="18">
        <v>-50000</v>
      </c>
      <c r="Q48" s="97">
        <v>3</v>
      </c>
      <c r="R48" s="97">
        <f t="shared" si="12"/>
        <v>628</v>
      </c>
      <c r="S48" s="97">
        <f t="shared" si="13"/>
        <v>-31400000</v>
      </c>
      <c r="T48" s="97"/>
      <c r="U48" s="94"/>
      <c r="V48" s="94"/>
    </row>
    <row r="49" spans="1:22">
      <c r="A49" s="94"/>
      <c r="B49" s="94" t="s">
        <v>4835</v>
      </c>
      <c r="C49" s="94" t="s">
        <v>4248</v>
      </c>
      <c r="D49" s="94" t="s">
        <v>4422</v>
      </c>
      <c r="E49" s="94" t="s">
        <v>5098</v>
      </c>
      <c r="F49" s="94" t="s">
        <v>5406</v>
      </c>
      <c r="O49" s="97" t="s">
        <v>5055</v>
      </c>
      <c r="P49" s="18">
        <v>-20000</v>
      </c>
      <c r="Q49" s="97">
        <v>7</v>
      </c>
      <c r="R49" s="97">
        <f t="shared" si="12"/>
        <v>625</v>
      </c>
      <c r="S49" s="97">
        <f t="shared" si="13"/>
        <v>-12500000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2"/>
        <v>618</v>
      </c>
      <c r="S50" s="97">
        <f t="shared" si="13"/>
        <v>3708000000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2"/>
        <v>617</v>
      </c>
      <c r="S51" s="97">
        <f t="shared" si="13"/>
        <v>-1420507994</v>
      </c>
      <c r="T51" s="97"/>
      <c r="U51" s="94"/>
      <c r="V51" s="94"/>
    </row>
    <row r="52" spans="1:22">
      <c r="A52" s="94"/>
      <c r="B52" s="94"/>
      <c r="E52" s="94"/>
      <c r="F52" s="94"/>
      <c r="O52" s="97" t="s">
        <v>5076</v>
      </c>
      <c r="P52" s="18">
        <v>100000</v>
      </c>
      <c r="Q52" s="97">
        <v>1</v>
      </c>
      <c r="R52" s="97">
        <f t="shared" si="12"/>
        <v>611</v>
      </c>
      <c r="S52" s="97">
        <f t="shared" si="13"/>
        <v>61100000</v>
      </c>
      <c r="T52" s="97"/>
      <c r="U52" s="94"/>
      <c r="V52" s="94"/>
    </row>
    <row r="53" spans="1:22">
      <c r="A53" s="94"/>
      <c r="B53" s="94"/>
      <c r="E53" s="94"/>
      <c r="F53" s="94"/>
      <c r="O53" s="97" t="s">
        <v>5079</v>
      </c>
      <c r="P53" s="18">
        <v>-1727718</v>
      </c>
      <c r="Q53" s="97">
        <v>2</v>
      </c>
      <c r="R53" s="97">
        <f t="shared" si="12"/>
        <v>610</v>
      </c>
      <c r="S53" s="97">
        <f t="shared" si="13"/>
        <v>-1053907980</v>
      </c>
      <c r="T53" s="97"/>
      <c r="U53" s="94"/>
      <c r="V53" s="94"/>
    </row>
    <row r="54" spans="1:22">
      <c r="A54" s="94"/>
      <c r="B54" s="94"/>
      <c r="E54" s="94"/>
      <c r="F54" s="94"/>
      <c r="O54" s="97" t="s">
        <v>5083</v>
      </c>
      <c r="P54" s="18">
        <v>-1000000</v>
      </c>
      <c r="Q54" s="97">
        <v>0</v>
      </c>
      <c r="R54" s="97">
        <f t="shared" si="12"/>
        <v>608</v>
      </c>
      <c r="S54" s="97">
        <f t="shared" si="13"/>
        <v>-608000000</v>
      </c>
      <c r="T54" s="97"/>
      <c r="U54" s="94"/>
      <c r="V54" s="94"/>
    </row>
    <row r="55" spans="1:22">
      <c r="A55" s="94"/>
      <c r="B55" s="94"/>
      <c r="E55" s="94"/>
      <c r="F55" s="94"/>
      <c r="O55" s="97" t="s">
        <v>5083</v>
      </c>
      <c r="P55" s="18">
        <v>-439200</v>
      </c>
      <c r="Q55" s="97">
        <v>1</v>
      </c>
      <c r="R55" s="97">
        <f t="shared" si="12"/>
        <v>608</v>
      </c>
      <c r="S55" s="97">
        <f t="shared" si="13"/>
        <v>-267033600</v>
      </c>
      <c r="T55" s="97"/>
      <c r="U55" s="94"/>
      <c r="V55" s="94"/>
    </row>
    <row r="56" spans="1:22">
      <c r="A56" s="94" t="s">
        <v>5843</v>
      </c>
      <c r="B56" s="94"/>
      <c r="E56" s="94"/>
      <c r="F56" s="94"/>
      <c r="K56" t="s">
        <v>25</v>
      </c>
      <c r="M56" t="s">
        <v>25</v>
      </c>
      <c r="O56" s="97" t="s">
        <v>5086</v>
      </c>
      <c r="P56" s="18">
        <v>-3631879</v>
      </c>
      <c r="Q56" s="97">
        <v>3</v>
      </c>
      <c r="R56" s="97">
        <f t="shared" si="12"/>
        <v>607</v>
      </c>
      <c r="S56" s="97">
        <f t="shared" si="13"/>
        <v>-2204550553</v>
      </c>
      <c r="T56" s="97"/>
      <c r="U56" s="94"/>
      <c r="V56" s="94"/>
    </row>
    <row r="57" spans="1:22">
      <c r="A57" s="94" t="s">
        <v>5835</v>
      </c>
      <c r="B57" s="94"/>
      <c r="E57" s="94"/>
      <c r="F57" s="94"/>
      <c r="M57" t="s">
        <v>25</v>
      </c>
      <c r="O57" s="97" t="s">
        <v>5111</v>
      </c>
      <c r="P57" s="18">
        <v>-2428921</v>
      </c>
      <c r="Q57" s="97">
        <v>9</v>
      </c>
      <c r="R57" s="97">
        <f t="shared" si="12"/>
        <v>604</v>
      </c>
      <c r="S57" s="97">
        <f t="shared" si="13"/>
        <v>-1467068284</v>
      </c>
      <c r="T57" s="97"/>
      <c r="U57" s="94"/>
      <c r="V57" s="94"/>
    </row>
    <row r="58" spans="1:22">
      <c r="A58" s="94" t="s">
        <v>5836</v>
      </c>
      <c r="B58" s="94"/>
      <c r="E58" s="94"/>
      <c r="F58" s="94"/>
      <c r="O58" s="97" t="s">
        <v>5130</v>
      </c>
      <c r="P58" s="18">
        <v>-500000</v>
      </c>
      <c r="Q58" s="97">
        <v>1</v>
      </c>
      <c r="R58" s="97">
        <f t="shared" si="12"/>
        <v>595</v>
      </c>
      <c r="S58" s="97">
        <f t="shared" si="13"/>
        <v>-297500000</v>
      </c>
      <c r="T58" s="97"/>
      <c r="U58" s="94"/>
      <c r="V58" s="94"/>
    </row>
    <row r="59" spans="1:22">
      <c r="A59" t="s">
        <v>5844</v>
      </c>
      <c r="B59" s="94"/>
      <c r="E59" s="94"/>
      <c r="F59" s="94"/>
      <c r="O59" s="97" t="s">
        <v>5131</v>
      </c>
      <c r="P59" s="18">
        <v>-2603</v>
      </c>
      <c r="Q59" s="97">
        <v>0</v>
      </c>
      <c r="R59" s="97">
        <f t="shared" si="12"/>
        <v>594</v>
      </c>
      <c r="S59" s="97">
        <f t="shared" si="13"/>
        <v>-1546182</v>
      </c>
      <c r="T59" s="97" t="s">
        <v>5132</v>
      </c>
      <c r="U59" s="94"/>
      <c r="V59" s="94"/>
    </row>
    <row r="60" spans="1:22">
      <c r="A60" t="s">
        <v>5511</v>
      </c>
      <c r="B60" s="94"/>
      <c r="E60" s="94"/>
      <c r="F60" s="94"/>
      <c r="O60" s="97" t="s">
        <v>5131</v>
      </c>
      <c r="P60" s="18">
        <v>-250000</v>
      </c>
      <c r="Q60" s="97">
        <v>7</v>
      </c>
      <c r="R60" s="97">
        <f t="shared" si="12"/>
        <v>594</v>
      </c>
      <c r="S60" s="97">
        <f t="shared" si="13"/>
        <v>-148500000</v>
      </c>
      <c r="T60" s="97"/>
      <c r="U60" s="94"/>
      <c r="V60" s="94"/>
    </row>
    <row r="61" spans="1:22">
      <c r="A61" s="94" t="s">
        <v>4848</v>
      </c>
      <c r="B61" s="94"/>
      <c r="E61" s="94"/>
      <c r="F61" s="94"/>
      <c r="O61" s="97" t="s">
        <v>4256</v>
      </c>
      <c r="P61" s="18">
        <v>185749</v>
      </c>
      <c r="Q61" s="97">
        <v>5</v>
      </c>
      <c r="R61" s="97">
        <f t="shared" si="12"/>
        <v>587</v>
      </c>
      <c r="S61" s="97">
        <f t="shared" si="13"/>
        <v>109034663</v>
      </c>
      <c r="T61" s="97"/>
      <c r="U61" s="94"/>
      <c r="V61" s="94"/>
    </row>
    <row r="62" spans="1:22">
      <c r="A62" s="94" t="s">
        <v>4846</v>
      </c>
      <c r="B62" s="94"/>
      <c r="E62" s="94"/>
      <c r="F62" s="94"/>
      <c r="O62" s="97" t="s">
        <v>5145</v>
      </c>
      <c r="P62" s="18">
        <v>300000</v>
      </c>
      <c r="Q62" s="97">
        <v>3</v>
      </c>
      <c r="R62" s="97">
        <f t="shared" si="12"/>
        <v>582</v>
      </c>
      <c r="S62" s="97">
        <f t="shared" si="13"/>
        <v>174600000</v>
      </c>
      <c r="T62" s="97"/>
      <c r="U62" s="94"/>
      <c r="V62" s="94"/>
    </row>
    <row r="63" spans="1:22">
      <c r="A63" s="94" t="s">
        <v>5838</v>
      </c>
      <c r="B63" s="94"/>
      <c r="C63" s="94" t="s">
        <v>25</v>
      </c>
      <c r="E63" s="94"/>
      <c r="F63" s="94"/>
      <c r="O63" s="97" t="s">
        <v>5151</v>
      </c>
      <c r="P63" s="18">
        <v>-50000</v>
      </c>
      <c r="Q63" s="97">
        <v>3</v>
      </c>
      <c r="R63" s="97">
        <f t="shared" si="12"/>
        <v>579</v>
      </c>
      <c r="S63" s="97">
        <f t="shared" si="13"/>
        <v>-28950000</v>
      </c>
      <c r="T63" s="97"/>
      <c r="U63" s="94"/>
      <c r="V63" s="94"/>
    </row>
    <row r="64" spans="1:22">
      <c r="A64" s="94" t="s">
        <v>5839</v>
      </c>
      <c r="B64" s="94"/>
      <c r="E64" s="94"/>
      <c r="F64" s="94"/>
      <c r="O64" s="97" t="s">
        <v>5156</v>
      </c>
      <c r="P64" s="18">
        <v>-1683146</v>
      </c>
      <c r="Q64" s="97">
        <v>10</v>
      </c>
      <c r="R64" s="97">
        <f t="shared" si="12"/>
        <v>576</v>
      </c>
      <c r="S64" s="97">
        <f t="shared" si="13"/>
        <v>-969492096</v>
      </c>
      <c r="T64" s="97"/>
      <c r="U64" s="94"/>
      <c r="V64" s="94"/>
    </row>
    <row r="65" spans="1:23">
      <c r="A65" t="s">
        <v>5855</v>
      </c>
      <c r="B65" s="94"/>
      <c r="E65" s="94"/>
      <c r="F65" s="94"/>
      <c r="O65" s="97" t="s">
        <v>5168</v>
      </c>
      <c r="P65" s="18">
        <v>700000</v>
      </c>
      <c r="Q65" s="97">
        <v>18</v>
      </c>
      <c r="R65" s="97">
        <f t="shared" si="12"/>
        <v>566</v>
      </c>
      <c r="S65" s="97">
        <f t="shared" si="13"/>
        <v>396200000</v>
      </c>
      <c r="T65" s="97"/>
      <c r="U65" s="94"/>
      <c r="V65" s="94"/>
    </row>
    <row r="66" spans="1:23">
      <c r="A66" t="s">
        <v>4481</v>
      </c>
      <c r="B66" s="94"/>
      <c r="E66" s="94"/>
      <c r="F66" s="94"/>
      <c r="O66" s="97" t="s">
        <v>5181</v>
      </c>
      <c r="P66" s="18">
        <v>-700000</v>
      </c>
      <c r="Q66" s="97">
        <v>46</v>
      </c>
      <c r="R66" s="97">
        <f t="shared" si="12"/>
        <v>548</v>
      </c>
      <c r="S66" s="97">
        <f t="shared" si="13"/>
        <v>-383600000</v>
      </c>
      <c r="T66" s="97"/>
    </row>
    <row r="67" spans="1:23">
      <c r="A67" s="94" t="s">
        <v>4508</v>
      </c>
      <c r="B67" s="94"/>
      <c r="E67" s="94"/>
      <c r="F67" s="94"/>
      <c r="O67" s="97" t="s">
        <v>5231</v>
      </c>
      <c r="P67" s="18">
        <v>1000000</v>
      </c>
      <c r="Q67" s="97">
        <v>4</v>
      </c>
      <c r="R67" s="97">
        <f t="shared" si="12"/>
        <v>502</v>
      </c>
      <c r="S67" s="97">
        <f t="shared" si="13"/>
        <v>502000000</v>
      </c>
      <c r="T67" s="97"/>
    </row>
    <row r="68" spans="1:23">
      <c r="A68" s="94"/>
      <c r="B68" s="94"/>
      <c r="C68" s="94" t="s">
        <v>25</v>
      </c>
      <c r="E68" s="94"/>
      <c r="F68" s="94"/>
      <c r="O68" s="97" t="s">
        <v>5235</v>
      </c>
      <c r="P68" s="18">
        <v>1500000</v>
      </c>
      <c r="Q68" s="97">
        <v>1</v>
      </c>
      <c r="R68" s="97">
        <f t="shared" si="12"/>
        <v>498</v>
      </c>
      <c r="S68" s="97">
        <f t="shared" si="13"/>
        <v>747000000</v>
      </c>
      <c r="T68" s="97"/>
    </row>
    <row r="69" spans="1:23">
      <c r="B69" s="94"/>
      <c r="E69" s="94"/>
      <c r="F69" s="94"/>
      <c r="O69" s="97" t="s">
        <v>5236</v>
      </c>
      <c r="P69" s="18">
        <v>-1500000</v>
      </c>
      <c r="Q69" s="97">
        <v>15</v>
      </c>
      <c r="R69" s="97">
        <f t="shared" si="12"/>
        <v>497</v>
      </c>
      <c r="S69" s="97">
        <f t="shared" si="13"/>
        <v>-745500000</v>
      </c>
      <c r="T69" s="97"/>
    </row>
    <row r="70" spans="1:23">
      <c r="A70" s="94" t="s">
        <v>5837</v>
      </c>
      <c r="B70" s="94"/>
      <c r="E70" s="94"/>
      <c r="F70" s="94"/>
      <c r="O70" s="97" t="s">
        <v>5259</v>
      </c>
      <c r="P70" s="18">
        <v>-100000</v>
      </c>
      <c r="Q70" s="97">
        <v>5</v>
      </c>
      <c r="R70" s="97">
        <f t="shared" si="12"/>
        <v>482</v>
      </c>
      <c r="S70" s="97">
        <f t="shared" si="13"/>
        <v>-48200000</v>
      </c>
      <c r="T70" s="97"/>
    </row>
    <row r="71" spans="1:23">
      <c r="A71" s="94" t="s">
        <v>5280</v>
      </c>
      <c r="B71" s="94"/>
      <c r="E71" s="94"/>
      <c r="F71" s="94"/>
      <c r="O71" s="97" t="s">
        <v>5263</v>
      </c>
      <c r="P71" s="18">
        <v>1164690</v>
      </c>
      <c r="Q71" s="97">
        <v>4</v>
      </c>
      <c r="R71" s="97">
        <f t="shared" si="12"/>
        <v>477</v>
      </c>
      <c r="S71" s="97">
        <f t="shared" si="13"/>
        <v>555557130</v>
      </c>
      <c r="T71" s="97"/>
      <c r="U71" t="s">
        <v>25</v>
      </c>
    </row>
    <row r="72" spans="1:23">
      <c r="A72" s="94" t="s">
        <v>5289</v>
      </c>
      <c r="B72" s="94"/>
      <c r="E72" s="94"/>
      <c r="F72" s="94"/>
      <c r="O72" s="97" t="s">
        <v>5272</v>
      </c>
      <c r="P72" s="18">
        <v>1000000</v>
      </c>
      <c r="Q72" s="97">
        <v>4</v>
      </c>
      <c r="R72" s="97">
        <f t="shared" si="12"/>
        <v>473</v>
      </c>
      <c r="S72" s="97">
        <f t="shared" si="13"/>
        <v>473000000</v>
      </c>
      <c r="T72" s="97"/>
    </row>
    <row r="73" spans="1:23">
      <c r="A73" s="94" t="s">
        <v>5848</v>
      </c>
      <c r="B73" s="94"/>
      <c r="E73" s="94"/>
      <c r="F73" s="94"/>
      <c r="O73" s="97" t="s">
        <v>5277</v>
      </c>
      <c r="P73" s="18">
        <v>-264690</v>
      </c>
      <c r="Q73" s="97">
        <v>7</v>
      </c>
      <c r="R73" s="97">
        <f t="shared" si="12"/>
        <v>469</v>
      </c>
      <c r="S73" s="97">
        <f t="shared" si="13"/>
        <v>-124139610</v>
      </c>
      <c r="T73" s="97"/>
    </row>
    <row r="74" spans="1:23">
      <c r="A74" s="94" t="s">
        <v>5294</v>
      </c>
      <c r="B74" s="94"/>
      <c r="E74" s="94"/>
      <c r="F74" s="94"/>
      <c r="O74" s="97" t="s">
        <v>5293</v>
      </c>
      <c r="P74" s="18">
        <v>2700000</v>
      </c>
      <c r="Q74" s="97">
        <v>0</v>
      </c>
      <c r="R74" s="97">
        <f t="shared" si="12"/>
        <v>462</v>
      </c>
      <c r="S74" s="97">
        <f t="shared" si="13"/>
        <v>1247400000</v>
      </c>
      <c r="T74" s="97"/>
    </row>
    <row r="75" spans="1:23">
      <c r="A75" s="94" t="s">
        <v>5849</v>
      </c>
      <c r="B75" s="94"/>
      <c r="E75" s="94"/>
      <c r="F75" s="94"/>
      <c r="N75" t="s">
        <v>25</v>
      </c>
      <c r="O75" s="97" t="s">
        <v>5293</v>
      </c>
      <c r="P75" s="18">
        <v>-1000000</v>
      </c>
      <c r="Q75" s="97">
        <v>1</v>
      </c>
      <c r="R75" s="97">
        <f t="shared" si="12"/>
        <v>462</v>
      </c>
      <c r="S75" s="97">
        <f t="shared" si="13"/>
        <v>-462000000</v>
      </c>
      <c r="T75" s="97" t="s">
        <v>5295</v>
      </c>
    </row>
    <row r="76" spans="1:23">
      <c r="A76" s="94" t="s">
        <v>5850</v>
      </c>
      <c r="B76" s="94"/>
      <c r="E76" s="94"/>
      <c r="F76" s="94"/>
      <c r="O76" s="97" t="s">
        <v>5297</v>
      </c>
      <c r="P76" s="18">
        <v>-75616</v>
      </c>
      <c r="Q76" s="97">
        <v>2</v>
      </c>
      <c r="R76" s="97">
        <f t="shared" si="12"/>
        <v>461</v>
      </c>
      <c r="S76" s="97">
        <f t="shared" si="13"/>
        <v>-34858976</v>
      </c>
      <c r="T76" s="97" t="s">
        <v>5298</v>
      </c>
    </row>
    <row r="77" spans="1:23">
      <c r="A77" s="94" t="s">
        <v>5851</v>
      </c>
      <c r="B77" s="94"/>
      <c r="E77" s="94"/>
      <c r="F77" s="94"/>
      <c r="O77" s="97" t="s">
        <v>963</v>
      </c>
      <c r="P77" s="18">
        <v>-2424384</v>
      </c>
      <c r="Q77" s="97">
        <v>2</v>
      </c>
      <c r="R77" s="97">
        <f t="shared" si="12"/>
        <v>459</v>
      </c>
      <c r="S77" s="97">
        <f t="shared" si="13"/>
        <v>-1112792256</v>
      </c>
      <c r="T77" s="97"/>
      <c r="W77" t="s">
        <v>25</v>
      </c>
    </row>
    <row r="78" spans="1:23">
      <c r="A78" s="94" t="s">
        <v>4483</v>
      </c>
      <c r="B78" s="94"/>
      <c r="E78" s="94"/>
      <c r="F78" s="94"/>
      <c r="O78" s="97" t="s">
        <v>5312</v>
      </c>
      <c r="P78" s="18">
        <v>-2000000</v>
      </c>
      <c r="Q78" s="97">
        <v>6</v>
      </c>
      <c r="R78" s="97">
        <f t="shared" si="12"/>
        <v>457</v>
      </c>
      <c r="S78" s="97">
        <f t="shared" si="13"/>
        <v>-914000000</v>
      </c>
      <c r="T78" s="97"/>
    </row>
    <row r="79" spans="1:23">
      <c r="A79" s="94" t="s">
        <v>4559</v>
      </c>
      <c r="B79" s="94" t="s">
        <v>25</v>
      </c>
      <c r="E79" s="94"/>
      <c r="F79" s="94"/>
      <c r="O79" s="97" t="s">
        <v>5345</v>
      </c>
      <c r="P79" s="18">
        <v>2500000</v>
      </c>
      <c r="Q79" s="97">
        <v>1</v>
      </c>
      <c r="R79" s="97">
        <f t="shared" si="12"/>
        <v>451</v>
      </c>
      <c r="S79" s="97">
        <f t="shared" si="13"/>
        <v>1127500000</v>
      </c>
      <c r="T79" s="97"/>
    </row>
    <row r="80" spans="1:23">
      <c r="A80" s="94" t="s">
        <v>4719</v>
      </c>
      <c r="B80" s="94"/>
      <c r="E80" s="94"/>
      <c r="F80" s="94"/>
      <c r="M80" t="s">
        <v>25</v>
      </c>
      <c r="O80" s="97" t="s">
        <v>5348</v>
      </c>
      <c r="P80" s="18">
        <v>3000000</v>
      </c>
      <c r="Q80" s="97">
        <v>3</v>
      </c>
      <c r="R80" s="97">
        <f t="shared" si="12"/>
        <v>450</v>
      </c>
      <c r="S80" s="97">
        <f t="shared" si="13"/>
        <v>1350000000</v>
      </c>
      <c r="T80" s="97"/>
    </row>
    <row r="81" spans="1:28">
      <c r="A81" s="94" t="s">
        <v>4661</v>
      </c>
      <c r="B81" s="94"/>
      <c r="E81" s="94"/>
      <c r="F81" s="94"/>
      <c r="O81" s="97" t="s">
        <v>5354</v>
      </c>
      <c r="P81" s="18">
        <v>-300000</v>
      </c>
      <c r="Q81" s="97">
        <v>5</v>
      </c>
      <c r="R81" s="97">
        <f t="shared" si="12"/>
        <v>447</v>
      </c>
      <c r="S81" s="97">
        <f t="shared" si="13"/>
        <v>-134100000</v>
      </c>
      <c r="T81" s="97"/>
    </row>
    <row r="82" spans="1:28">
      <c r="A82" s="94"/>
      <c r="B82" s="94"/>
      <c r="E82" s="94"/>
      <c r="F82" s="94"/>
      <c r="L82" s="112"/>
      <c r="O82" s="97" t="s">
        <v>5365</v>
      </c>
      <c r="P82" s="18">
        <v>500000</v>
      </c>
      <c r="Q82" s="97">
        <v>1</v>
      </c>
      <c r="R82" s="97">
        <f t="shared" si="12"/>
        <v>442</v>
      </c>
      <c r="S82" s="97">
        <f t="shared" si="13"/>
        <v>221000000</v>
      </c>
      <c r="T82" s="97"/>
    </row>
    <row r="83" spans="1:28">
      <c r="A83" s="94"/>
      <c r="B83" s="94"/>
      <c r="E83" s="94"/>
      <c r="F83" s="94"/>
      <c r="O83" s="97" t="s">
        <v>5367</v>
      </c>
      <c r="P83" s="18">
        <v>1000000</v>
      </c>
      <c r="Q83" s="97">
        <v>5</v>
      </c>
      <c r="R83" s="97">
        <f t="shared" si="12"/>
        <v>441</v>
      </c>
      <c r="S83" s="97">
        <f t="shared" si="13"/>
        <v>441000000</v>
      </c>
      <c r="T83" s="97"/>
    </row>
    <row r="84" spans="1:28">
      <c r="B84" s="94"/>
      <c r="E84" s="94"/>
      <c r="F84" s="94"/>
      <c r="O84" s="97" t="s">
        <v>5372</v>
      </c>
      <c r="P84" s="18">
        <v>-2700000</v>
      </c>
      <c r="Q84" s="97">
        <v>1</v>
      </c>
      <c r="R84" s="97">
        <f t="shared" si="12"/>
        <v>436</v>
      </c>
      <c r="S84" s="97">
        <f t="shared" si="13"/>
        <v>-1177200000</v>
      </c>
      <c r="T84" s="97"/>
    </row>
    <row r="85" spans="1:28">
      <c r="A85" s="94" t="s">
        <v>5842</v>
      </c>
      <c r="E85" s="94"/>
      <c r="F85" s="94"/>
      <c r="O85" s="97" t="s">
        <v>5373</v>
      </c>
      <c r="P85" s="18">
        <v>-3600000</v>
      </c>
      <c r="Q85" s="97">
        <v>1</v>
      </c>
      <c r="R85" s="97">
        <f t="shared" si="12"/>
        <v>435</v>
      </c>
      <c r="S85" s="97">
        <f t="shared" si="13"/>
        <v>-1566000000</v>
      </c>
      <c r="T85" s="97"/>
    </row>
    <row r="86" spans="1:28">
      <c r="A86" s="94" t="s">
        <v>5840</v>
      </c>
      <c r="E86" s="94"/>
      <c r="F86" s="94"/>
      <c r="O86" s="97" t="s">
        <v>987</v>
      </c>
      <c r="P86" s="18">
        <v>-400000</v>
      </c>
      <c r="Q86" s="97">
        <v>17</v>
      </c>
      <c r="R86" s="97">
        <f t="shared" si="12"/>
        <v>434</v>
      </c>
      <c r="S86" s="97">
        <f t="shared" si="13"/>
        <v>-173600000</v>
      </c>
      <c r="T86" s="97"/>
    </row>
    <row r="87" spans="1:28">
      <c r="A87" s="94" t="s">
        <v>5841</v>
      </c>
      <c r="E87" s="94"/>
      <c r="F87" s="94"/>
      <c r="M87" t="s">
        <v>25</v>
      </c>
      <c r="O87" s="97" t="s">
        <v>5393</v>
      </c>
      <c r="P87" s="18">
        <v>1000000</v>
      </c>
      <c r="Q87" s="97">
        <v>20</v>
      </c>
      <c r="R87" s="97">
        <f t="shared" si="12"/>
        <v>417</v>
      </c>
      <c r="S87" s="97">
        <f t="shared" si="13"/>
        <v>417000000</v>
      </c>
      <c r="T87" s="97"/>
    </row>
    <row r="88" spans="1:28">
      <c r="A88" s="94" t="s">
        <v>5852</v>
      </c>
      <c r="E88" s="94"/>
      <c r="F88" s="94"/>
      <c r="O88" s="97" t="s">
        <v>5413</v>
      </c>
      <c r="P88" s="18">
        <v>-1000000</v>
      </c>
      <c r="Q88" s="97">
        <v>25</v>
      </c>
      <c r="R88" s="97">
        <f t="shared" si="12"/>
        <v>397</v>
      </c>
      <c r="S88" s="97">
        <f t="shared" si="13"/>
        <v>-397000000</v>
      </c>
      <c r="T88" s="97"/>
    </row>
    <row r="89" spans="1:28">
      <c r="A89" s="94" t="s">
        <v>5853</v>
      </c>
      <c r="E89" s="94"/>
      <c r="F89" s="94"/>
      <c r="O89" s="97" t="s">
        <v>5443</v>
      </c>
      <c r="P89" s="18">
        <v>300000</v>
      </c>
      <c r="Q89" s="97">
        <v>3</v>
      </c>
      <c r="R89" s="97">
        <f t="shared" si="12"/>
        <v>372</v>
      </c>
      <c r="S89" s="97">
        <f t="shared" si="13"/>
        <v>111600000</v>
      </c>
      <c r="T89" s="97"/>
    </row>
    <row r="90" spans="1:28">
      <c r="A90" s="94" t="s">
        <v>5854</v>
      </c>
      <c r="O90" s="97" t="s">
        <v>5448</v>
      </c>
      <c r="P90" s="18">
        <v>-300000</v>
      </c>
      <c r="Q90" s="97">
        <v>9</v>
      </c>
      <c r="R90" s="97">
        <f t="shared" si="12"/>
        <v>369</v>
      </c>
      <c r="S90" s="97">
        <f t="shared" si="13"/>
        <v>-110700000</v>
      </c>
      <c r="T90" s="97"/>
    </row>
    <row r="91" spans="1:28">
      <c r="A91" s="94"/>
      <c r="O91" s="97" t="s">
        <v>5467</v>
      </c>
      <c r="P91" s="18">
        <v>1000000</v>
      </c>
      <c r="Q91" s="97">
        <v>24</v>
      </c>
      <c r="R91" s="97">
        <f t="shared" si="12"/>
        <v>360</v>
      </c>
      <c r="S91" s="97">
        <f t="shared" si="13"/>
        <v>360000000</v>
      </c>
      <c r="T91" s="97"/>
      <c r="W91" t="s">
        <v>25</v>
      </c>
    </row>
    <row r="92" spans="1:28">
      <c r="A92" s="94" t="s">
        <v>5845</v>
      </c>
      <c r="O92" s="97" t="s">
        <v>5506</v>
      </c>
      <c r="P92" s="18">
        <v>-1380100</v>
      </c>
      <c r="Q92" s="97">
        <v>11</v>
      </c>
      <c r="R92" s="97">
        <f t="shared" si="12"/>
        <v>336</v>
      </c>
      <c r="S92" s="97">
        <f t="shared" si="13"/>
        <v>-463713600</v>
      </c>
      <c r="T92" s="97"/>
    </row>
    <row r="93" spans="1:28">
      <c r="A93" t="s">
        <v>5846</v>
      </c>
      <c r="O93" s="97" t="s">
        <v>5520</v>
      </c>
      <c r="P93" s="18">
        <v>1280015</v>
      </c>
      <c r="Q93" s="97">
        <v>0</v>
      </c>
      <c r="R93" s="97">
        <f t="shared" ref="R93:R144" si="18">Q93+R94</f>
        <v>325</v>
      </c>
      <c r="S93" s="97">
        <f t="shared" ref="S93:S143" si="19">P93*R93</f>
        <v>416004875</v>
      </c>
      <c r="T93" s="97"/>
    </row>
    <row r="94" spans="1:28">
      <c r="A94" s="94" t="s">
        <v>5847</v>
      </c>
      <c r="M94" t="s">
        <v>25</v>
      </c>
      <c r="O94" s="97" t="s">
        <v>5520</v>
      </c>
      <c r="P94" s="18">
        <v>300000</v>
      </c>
      <c r="Q94" s="97">
        <v>7</v>
      </c>
      <c r="R94" s="97">
        <f t="shared" si="18"/>
        <v>325</v>
      </c>
      <c r="S94" s="97">
        <f t="shared" si="19"/>
        <v>97500000</v>
      </c>
      <c r="T94" s="97"/>
    </row>
    <row r="95" spans="1:28">
      <c r="A95" s="94"/>
      <c r="O95" s="97" t="s">
        <v>5527</v>
      </c>
      <c r="P95" s="18">
        <v>3000000</v>
      </c>
      <c r="Q95" s="97">
        <v>3</v>
      </c>
      <c r="R95" s="97">
        <f t="shared" si="18"/>
        <v>318</v>
      </c>
      <c r="S95" s="97">
        <f t="shared" si="19"/>
        <v>954000000</v>
      </c>
      <c r="T95" s="97"/>
      <c r="AB95" t="s">
        <v>25</v>
      </c>
    </row>
    <row r="96" spans="1:28">
      <c r="O96" s="97" t="s">
        <v>5546</v>
      </c>
      <c r="P96" s="18">
        <v>300000</v>
      </c>
      <c r="Q96" s="97">
        <v>8</v>
      </c>
      <c r="R96" s="97">
        <f t="shared" si="18"/>
        <v>315</v>
      </c>
      <c r="S96" s="97">
        <f t="shared" si="19"/>
        <v>94500000</v>
      </c>
      <c r="T96" s="97"/>
    </row>
    <row r="97" spans="1:25">
      <c r="A97" s="94"/>
      <c r="O97" s="97" t="s">
        <v>5567</v>
      </c>
      <c r="P97" s="18">
        <v>-3500000</v>
      </c>
      <c r="Q97" s="97">
        <v>6</v>
      </c>
      <c r="R97" s="97">
        <f t="shared" si="18"/>
        <v>307</v>
      </c>
      <c r="S97" s="97">
        <f t="shared" si="19"/>
        <v>-1074500000</v>
      </c>
      <c r="T97" s="97"/>
    </row>
    <row r="98" spans="1:25">
      <c r="A98" s="94"/>
      <c r="O98" s="97" t="s">
        <v>5572</v>
      </c>
      <c r="P98" s="18">
        <v>-70000</v>
      </c>
      <c r="Q98" s="97">
        <v>1</v>
      </c>
      <c r="R98" s="97">
        <f t="shared" si="18"/>
        <v>301</v>
      </c>
      <c r="S98" s="97">
        <f t="shared" si="19"/>
        <v>-21070000</v>
      </c>
      <c r="T98" s="97"/>
    </row>
    <row r="99" spans="1:25">
      <c r="O99" s="97" t="s">
        <v>5576</v>
      </c>
      <c r="P99" s="18">
        <v>70085</v>
      </c>
      <c r="Q99" s="97">
        <v>7</v>
      </c>
      <c r="R99" s="97">
        <f t="shared" si="18"/>
        <v>300</v>
      </c>
      <c r="S99" s="97">
        <f t="shared" si="19"/>
        <v>21025500</v>
      </c>
      <c r="T99" s="97" t="s">
        <v>5577</v>
      </c>
    </row>
    <row r="100" spans="1:25">
      <c r="A100" s="94"/>
      <c r="O100" s="97" t="s">
        <v>5583</v>
      </c>
      <c r="P100" s="18">
        <v>-1000000</v>
      </c>
      <c r="Q100" s="97">
        <v>31</v>
      </c>
      <c r="R100" s="97">
        <f t="shared" si="18"/>
        <v>293</v>
      </c>
      <c r="S100" s="97">
        <f t="shared" si="19"/>
        <v>-293000000</v>
      </c>
      <c r="T100" s="97"/>
    </row>
    <row r="101" spans="1:25">
      <c r="A101" s="94"/>
      <c r="O101" s="97" t="s">
        <v>5612</v>
      </c>
      <c r="P101" s="18">
        <v>6000000</v>
      </c>
      <c r="Q101" s="97">
        <v>1</v>
      </c>
      <c r="R101" s="97">
        <f t="shared" si="18"/>
        <v>262</v>
      </c>
      <c r="S101" s="97">
        <f t="shared" si="19"/>
        <v>1572000000</v>
      </c>
      <c r="T101" s="97"/>
      <c r="U101" t="s">
        <v>25</v>
      </c>
    </row>
    <row r="102" spans="1:25">
      <c r="O102" s="97" t="s">
        <v>5613</v>
      </c>
      <c r="P102" s="18">
        <v>6000000</v>
      </c>
      <c r="Q102" s="97">
        <v>11</v>
      </c>
      <c r="R102" s="97">
        <f t="shared" si="18"/>
        <v>261</v>
      </c>
      <c r="S102" s="97">
        <f t="shared" si="19"/>
        <v>1566000000</v>
      </c>
      <c r="T102" s="97"/>
    </row>
    <row r="103" spans="1:25">
      <c r="O103" s="97" t="s">
        <v>5628</v>
      </c>
      <c r="P103" s="18">
        <v>48000000</v>
      </c>
      <c r="Q103" s="97">
        <v>8</v>
      </c>
      <c r="R103" s="97">
        <f t="shared" si="18"/>
        <v>250</v>
      </c>
      <c r="S103" s="97">
        <f t="shared" si="19"/>
        <v>12000000000</v>
      </c>
      <c r="T103" s="97"/>
    </row>
    <row r="104" spans="1:25">
      <c r="O104" s="97" t="s">
        <v>5645</v>
      </c>
      <c r="P104" s="18">
        <v>-400000</v>
      </c>
      <c r="Q104" s="97">
        <v>23</v>
      </c>
      <c r="R104" s="97">
        <f t="shared" si="18"/>
        <v>242</v>
      </c>
      <c r="S104" s="97">
        <f t="shared" si="19"/>
        <v>-96800000</v>
      </c>
      <c r="T104" s="97"/>
    </row>
    <row r="105" spans="1:25">
      <c r="O105" s="97" t="s">
        <v>5682</v>
      </c>
      <c r="P105" s="18">
        <v>500000</v>
      </c>
      <c r="Q105" s="97">
        <v>4</v>
      </c>
      <c r="R105" s="97">
        <f t="shared" si="18"/>
        <v>219</v>
      </c>
      <c r="S105" s="97">
        <f t="shared" si="19"/>
        <v>109500000</v>
      </c>
      <c r="T105" s="97"/>
    </row>
    <row r="106" spans="1:25">
      <c r="O106" s="97" t="s">
        <v>5686</v>
      </c>
      <c r="P106" s="18">
        <v>-500000</v>
      </c>
      <c r="Q106" s="97">
        <v>48</v>
      </c>
      <c r="R106" s="97">
        <f t="shared" si="18"/>
        <v>215</v>
      </c>
      <c r="S106" s="97">
        <f t="shared" si="19"/>
        <v>-107500000</v>
      </c>
      <c r="T106" s="97"/>
      <c r="V106" t="s">
        <v>25</v>
      </c>
    </row>
    <row r="107" spans="1:25">
      <c r="O107" s="97" t="s">
        <v>5748</v>
      </c>
      <c r="P107" s="18">
        <v>2000000</v>
      </c>
      <c r="Q107" s="97">
        <v>11</v>
      </c>
      <c r="R107" s="97">
        <f t="shared" si="18"/>
        <v>167</v>
      </c>
      <c r="S107" s="97">
        <f t="shared" si="19"/>
        <v>334000000</v>
      </c>
      <c r="T107" s="97"/>
    </row>
    <row r="108" spans="1:25">
      <c r="O108" s="97" t="s">
        <v>5762</v>
      </c>
      <c r="P108" s="18">
        <v>-2000000</v>
      </c>
      <c r="Q108" s="97">
        <v>1</v>
      </c>
      <c r="R108" s="97">
        <f t="shared" si="18"/>
        <v>156</v>
      </c>
      <c r="S108" s="97">
        <f t="shared" si="19"/>
        <v>-312000000</v>
      </c>
      <c r="T108" s="97"/>
      <c r="V108" t="s">
        <v>25</v>
      </c>
    </row>
    <row r="109" spans="1:25">
      <c r="O109" s="97" t="s">
        <v>5764</v>
      </c>
      <c r="P109" s="18">
        <v>-42203</v>
      </c>
      <c r="Q109" s="97">
        <v>2</v>
      </c>
      <c r="R109" s="97">
        <f t="shared" si="18"/>
        <v>155</v>
      </c>
      <c r="S109" s="97">
        <f t="shared" si="19"/>
        <v>-6541465</v>
      </c>
      <c r="T109" s="97" t="s">
        <v>5769</v>
      </c>
    </row>
    <row r="110" spans="1:25">
      <c r="O110" s="97" t="s">
        <v>5772</v>
      </c>
      <c r="P110" s="18">
        <v>-365000</v>
      </c>
      <c r="Q110" s="97">
        <v>5</v>
      </c>
      <c r="R110" s="97">
        <f t="shared" si="18"/>
        <v>153</v>
      </c>
      <c r="S110" s="97">
        <f t="shared" si="19"/>
        <v>-55845000</v>
      </c>
      <c r="T110" s="97" t="s">
        <v>5773</v>
      </c>
    </row>
    <row r="111" spans="1:25">
      <c r="O111" s="97" t="s">
        <v>5779</v>
      </c>
      <c r="P111" s="18">
        <v>12000000</v>
      </c>
      <c r="Q111" s="97">
        <v>9</v>
      </c>
      <c r="R111" s="97">
        <f t="shared" si="18"/>
        <v>148</v>
      </c>
      <c r="S111" s="97">
        <f t="shared" si="19"/>
        <v>1776000000</v>
      </c>
      <c r="T111" s="97" t="s">
        <v>5780</v>
      </c>
      <c r="Y111" t="s">
        <v>25</v>
      </c>
    </row>
    <row r="112" spans="1:25">
      <c r="M112" t="s">
        <v>25</v>
      </c>
      <c r="O112" s="97" t="s">
        <v>5793</v>
      </c>
      <c r="P112" s="18">
        <v>-4000000</v>
      </c>
      <c r="Q112" s="97">
        <v>1</v>
      </c>
      <c r="R112" s="97">
        <f t="shared" si="18"/>
        <v>139</v>
      </c>
      <c r="S112" s="97">
        <f t="shared" si="19"/>
        <v>-556000000</v>
      </c>
      <c r="T112" s="97"/>
    </row>
    <row r="113" spans="1:23">
      <c r="O113" s="97" t="s">
        <v>5798</v>
      </c>
      <c r="P113" s="18">
        <v>-5000000</v>
      </c>
      <c r="Q113" s="97">
        <v>2</v>
      </c>
      <c r="R113" s="97">
        <f>Q113+R114</f>
        <v>138</v>
      </c>
      <c r="S113" s="97">
        <f t="shared" si="19"/>
        <v>-690000000</v>
      </c>
      <c r="T113" s="97"/>
    </row>
    <row r="114" spans="1:23">
      <c r="O114" s="97" t="s">
        <v>5796</v>
      </c>
      <c r="P114" s="18">
        <v>-2500000</v>
      </c>
      <c r="Q114" s="97">
        <v>1</v>
      </c>
      <c r="R114" s="97">
        <f t="shared" si="18"/>
        <v>136</v>
      </c>
      <c r="S114" s="97">
        <f t="shared" si="19"/>
        <v>-340000000</v>
      </c>
      <c r="T114" s="97"/>
    </row>
    <row r="115" spans="1:23">
      <c r="O115" s="97" t="s">
        <v>5797</v>
      </c>
      <c r="P115" s="18">
        <v>-500000</v>
      </c>
      <c r="Q115" s="97">
        <v>17</v>
      </c>
      <c r="R115" s="97">
        <f t="shared" si="18"/>
        <v>135</v>
      </c>
      <c r="S115" s="97">
        <f t="shared" si="19"/>
        <v>-67500000</v>
      </c>
      <c r="T115" s="97"/>
    </row>
    <row r="116" spans="1:23">
      <c r="O116" s="97" t="s">
        <v>5799</v>
      </c>
      <c r="P116" s="18">
        <v>-192797</v>
      </c>
      <c r="Q116" s="97">
        <v>15</v>
      </c>
      <c r="R116" s="97">
        <f t="shared" si="18"/>
        <v>118</v>
      </c>
      <c r="S116" s="97">
        <f t="shared" si="19"/>
        <v>-22750046</v>
      </c>
      <c r="T116" s="97"/>
    </row>
    <row r="117" spans="1:23">
      <c r="O117" s="97" t="s">
        <v>5804</v>
      </c>
      <c r="P117" s="18">
        <v>2000000</v>
      </c>
      <c r="Q117" s="97">
        <v>12</v>
      </c>
      <c r="R117" s="97">
        <f t="shared" si="18"/>
        <v>103</v>
      </c>
      <c r="S117" s="97">
        <f t="shared" si="19"/>
        <v>206000000</v>
      </c>
      <c r="T117" s="97"/>
    </row>
    <row r="118" spans="1:23">
      <c r="N118" t="s">
        <v>25</v>
      </c>
      <c r="O118" s="97" t="s">
        <v>5812</v>
      </c>
      <c r="P118" s="18">
        <v>-2000000</v>
      </c>
      <c r="Q118" s="97">
        <v>0</v>
      </c>
      <c r="R118" s="97">
        <f t="shared" si="18"/>
        <v>91</v>
      </c>
      <c r="S118" s="97">
        <f t="shared" si="19"/>
        <v>-182000000</v>
      </c>
      <c r="T118" s="97"/>
    </row>
    <row r="119" spans="1:23">
      <c r="O119" s="97" t="s">
        <v>5812</v>
      </c>
      <c r="P119" s="18">
        <v>-4000000</v>
      </c>
      <c r="Q119" s="97">
        <v>1</v>
      </c>
      <c r="R119" s="97">
        <f t="shared" si="18"/>
        <v>91</v>
      </c>
      <c r="S119" s="97">
        <f t="shared" si="19"/>
        <v>-364000000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8"/>
        <v>90</v>
      </c>
      <c r="S120" s="97">
        <f t="shared" si="19"/>
        <v>-270000000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8"/>
        <v>87</v>
      </c>
      <c r="S121" s="97">
        <f t="shared" si="19"/>
        <v>-522000000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8"/>
        <v>86</v>
      </c>
      <c r="S122" s="97">
        <f t="shared" si="19"/>
        <v>-860000000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8"/>
        <v>86</v>
      </c>
      <c r="S123" s="97">
        <f t="shared" si="19"/>
        <v>-473000000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8"/>
        <v>85</v>
      </c>
      <c r="S124" s="97">
        <f t="shared" si="19"/>
        <v>-127500000</v>
      </c>
      <c r="T124" s="97"/>
    </row>
    <row r="125" spans="1:23">
      <c r="A125" s="9"/>
      <c r="B125" s="18"/>
      <c r="O125" s="97" t="s">
        <v>5856</v>
      </c>
      <c r="P125" s="18">
        <v>-22545000</v>
      </c>
      <c r="Q125" s="97">
        <v>18</v>
      </c>
      <c r="R125" s="97">
        <f t="shared" si="18"/>
        <v>76</v>
      </c>
      <c r="S125" s="97">
        <f t="shared" si="19"/>
        <v>-1713420000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8"/>
        <v>58</v>
      </c>
      <c r="S126" s="97">
        <f t="shared" si="19"/>
        <v>290000000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8"/>
        <v>49</v>
      </c>
      <c r="S127" s="97">
        <f t="shared" si="19"/>
        <v>147000000</v>
      </c>
      <c r="T127" s="97"/>
      <c r="W127" t="s">
        <v>25</v>
      </c>
    </row>
    <row r="128" spans="1:23">
      <c r="A128" s="94"/>
      <c r="B128" s="94"/>
      <c r="E128" s="94"/>
      <c r="F128" s="94"/>
      <c r="G128" s="94"/>
      <c r="H128" s="94"/>
      <c r="I128" s="94"/>
      <c r="J128" s="94"/>
      <c r="O128" s="97" t="s">
        <v>5888</v>
      </c>
      <c r="P128" s="18">
        <v>-3000000</v>
      </c>
      <c r="Q128" s="97">
        <v>1</v>
      </c>
      <c r="R128" s="97">
        <f t="shared" si="18"/>
        <v>49</v>
      </c>
      <c r="S128" s="97">
        <f t="shared" si="19"/>
        <v>-147000000</v>
      </c>
      <c r="T128" s="97"/>
    </row>
    <row r="129" spans="1:22">
      <c r="A129" s="94"/>
      <c r="B129" s="94"/>
      <c r="E129" s="94"/>
      <c r="F129" s="94"/>
      <c r="G129" s="94"/>
      <c r="H129" s="94"/>
      <c r="I129" s="94" t="s">
        <v>25</v>
      </c>
      <c r="J129" s="94"/>
      <c r="O129" s="97" t="s">
        <v>5889</v>
      </c>
      <c r="P129" s="18">
        <v>-11455000</v>
      </c>
      <c r="Q129" s="97">
        <v>14</v>
      </c>
      <c r="R129" s="97">
        <f t="shared" si="18"/>
        <v>48</v>
      </c>
      <c r="S129" s="97">
        <f t="shared" si="19"/>
        <v>-549840000</v>
      </c>
      <c r="T129" s="97"/>
    </row>
    <row r="130" spans="1:22">
      <c r="A130" s="94"/>
      <c r="B130" s="94"/>
      <c r="E130" s="94"/>
      <c r="F130" s="94"/>
      <c r="G130" s="94"/>
      <c r="H130" s="94"/>
      <c r="I130" s="94"/>
      <c r="J130" s="94"/>
      <c r="O130" s="97" t="s">
        <v>6477</v>
      </c>
      <c r="P130" s="18">
        <v>2317100</v>
      </c>
      <c r="Q130" s="97">
        <v>3</v>
      </c>
      <c r="R130" s="97">
        <f t="shared" si="18"/>
        <v>34</v>
      </c>
      <c r="S130" s="97">
        <f t="shared" si="19"/>
        <v>78781400</v>
      </c>
      <c r="T130" s="97"/>
    </row>
    <row r="131" spans="1:22">
      <c r="A131" s="315" t="s">
        <v>6472</v>
      </c>
      <c r="B131" s="316" t="s">
        <v>6470</v>
      </c>
      <c r="C131" s="32" t="s">
        <v>6498</v>
      </c>
      <c r="D131" s="239" t="s">
        <v>1100</v>
      </c>
      <c r="E131" s="32" t="s">
        <v>6471</v>
      </c>
      <c r="F131" s="207" t="s">
        <v>5914</v>
      </c>
      <c r="G131" s="207" t="s">
        <v>6497</v>
      </c>
      <c r="H131" s="94"/>
      <c r="I131" s="94"/>
      <c r="J131" s="94"/>
      <c r="O131" s="97" t="s">
        <v>6484</v>
      </c>
      <c r="P131" s="18">
        <v>699000</v>
      </c>
      <c r="Q131" s="97">
        <v>3</v>
      </c>
      <c r="R131" s="97">
        <f t="shared" si="18"/>
        <v>31</v>
      </c>
      <c r="S131" s="97">
        <f t="shared" si="19"/>
        <v>21669000</v>
      </c>
      <c r="T131" s="97"/>
    </row>
    <row r="132" spans="1:22">
      <c r="A132" s="315">
        <v>1390</v>
      </c>
      <c r="B132" s="316">
        <v>354</v>
      </c>
      <c r="C132" s="32"/>
      <c r="D132" s="239">
        <v>1900</v>
      </c>
      <c r="E132" s="32">
        <f t="shared" ref="E132:E137" si="20">B132*1000/D132</f>
        <v>186.31578947368422</v>
      </c>
      <c r="F132" s="18">
        <v>700000</v>
      </c>
      <c r="G132" s="207">
        <f t="shared" ref="G132:G137" si="21">B132*1000*1000/F132</f>
        <v>505.71428571428572</v>
      </c>
      <c r="H132" s="94"/>
      <c r="I132" s="94"/>
      <c r="J132" s="94"/>
      <c r="O132" s="97" t="s">
        <v>6490</v>
      </c>
      <c r="P132" s="18">
        <v>-1016100</v>
      </c>
      <c r="Q132" s="97">
        <v>5</v>
      </c>
      <c r="R132" s="97">
        <f t="shared" si="18"/>
        <v>28</v>
      </c>
      <c r="S132" s="97">
        <f t="shared" si="19"/>
        <v>-28450800</v>
      </c>
      <c r="T132" s="97"/>
    </row>
    <row r="133" spans="1:22">
      <c r="A133" s="315">
        <v>1391</v>
      </c>
      <c r="B133" s="316">
        <v>460</v>
      </c>
      <c r="C133" s="32">
        <f>(B133-B132)*100/B132</f>
        <v>29.943502824858758</v>
      </c>
      <c r="D133" s="239">
        <v>3200</v>
      </c>
      <c r="E133" s="32">
        <f t="shared" si="20"/>
        <v>143.75</v>
      </c>
      <c r="F133" s="18">
        <v>1200000</v>
      </c>
      <c r="G133" s="207">
        <f t="shared" si="21"/>
        <v>383.33333333333331</v>
      </c>
      <c r="H133" s="94"/>
      <c r="I133" s="94" t="s">
        <v>25</v>
      </c>
      <c r="J133" s="94"/>
      <c r="O133" s="97" t="s">
        <v>6499</v>
      </c>
      <c r="P133" s="18">
        <v>-680000</v>
      </c>
      <c r="Q133" s="97">
        <v>3</v>
      </c>
      <c r="R133" s="97">
        <f t="shared" si="18"/>
        <v>23</v>
      </c>
      <c r="S133" s="97">
        <f t="shared" si="19"/>
        <v>-15640000</v>
      </c>
      <c r="T133" s="97"/>
    </row>
    <row r="134" spans="1:22">
      <c r="A134" s="315">
        <v>1392</v>
      </c>
      <c r="B134" s="316">
        <v>640</v>
      </c>
      <c r="C134" s="32">
        <f t="shared" ref="C134:C140" si="22">(B134-B133)*100/B133</f>
        <v>39.130434782608695</v>
      </c>
      <c r="D134" s="239">
        <v>3100</v>
      </c>
      <c r="E134" s="32">
        <f t="shared" si="20"/>
        <v>206.45161290322579</v>
      </c>
      <c r="F134" s="18">
        <v>970000</v>
      </c>
      <c r="G134" s="207">
        <f t="shared" si="21"/>
        <v>659.79381443298973</v>
      </c>
      <c r="H134" s="94"/>
      <c r="I134" s="94" t="s">
        <v>25</v>
      </c>
      <c r="J134" s="94" t="s">
        <v>25</v>
      </c>
      <c r="O134" s="97" t="s">
        <v>6500</v>
      </c>
      <c r="P134" s="18">
        <v>-216000</v>
      </c>
      <c r="Q134" s="97">
        <v>3</v>
      </c>
      <c r="R134" s="97">
        <f t="shared" si="18"/>
        <v>20</v>
      </c>
      <c r="S134" s="97">
        <f t="shared" si="19"/>
        <v>-4320000</v>
      </c>
      <c r="T134" s="97"/>
    </row>
    <row r="135" spans="1:22">
      <c r="A135" s="315">
        <v>1393</v>
      </c>
      <c r="B135" s="316">
        <v>782</v>
      </c>
      <c r="C135" s="32">
        <f t="shared" si="22"/>
        <v>22.1875</v>
      </c>
      <c r="D135" s="239">
        <v>3300</v>
      </c>
      <c r="E135" s="32">
        <f t="shared" si="20"/>
        <v>236.96969696969697</v>
      </c>
      <c r="F135" s="18">
        <v>1000000</v>
      </c>
      <c r="G135" s="207">
        <f t="shared" si="21"/>
        <v>782</v>
      </c>
      <c r="H135" s="94" t="s">
        <v>25</v>
      </c>
      <c r="I135" s="94"/>
      <c r="J135" s="94"/>
      <c r="O135" s="97" t="s">
        <v>6507</v>
      </c>
      <c r="P135" s="18">
        <v>-619000</v>
      </c>
      <c r="Q135" s="97">
        <v>3</v>
      </c>
      <c r="R135" s="97">
        <f t="shared" si="18"/>
        <v>17</v>
      </c>
      <c r="S135" s="97">
        <f t="shared" si="19"/>
        <v>-10523000</v>
      </c>
      <c r="T135" s="97"/>
    </row>
    <row r="136" spans="1:22">
      <c r="A136" s="315">
        <v>1394</v>
      </c>
      <c r="B136" s="316">
        <v>1017</v>
      </c>
      <c r="C136" s="32">
        <f t="shared" si="22"/>
        <v>30.051150895140665</v>
      </c>
      <c r="D136" s="239">
        <v>3500</v>
      </c>
      <c r="E136" s="32">
        <f t="shared" si="20"/>
        <v>290.57142857142856</v>
      </c>
      <c r="F136" s="18">
        <v>1000000</v>
      </c>
      <c r="G136" s="207">
        <f t="shared" si="21"/>
        <v>1017</v>
      </c>
      <c r="H136" s="94"/>
      <c r="I136" s="94" t="s">
        <v>25</v>
      </c>
      <c r="J136" s="94"/>
      <c r="O136" s="144" t="s">
        <v>6527</v>
      </c>
      <c r="P136" s="240">
        <v>-485000</v>
      </c>
      <c r="Q136" s="144">
        <v>11</v>
      </c>
      <c r="R136" s="97">
        <f t="shared" si="18"/>
        <v>14</v>
      </c>
      <c r="S136" s="97">
        <f t="shared" si="19"/>
        <v>-6790000</v>
      </c>
      <c r="T136" s="144"/>
      <c r="V136" t="s">
        <v>25</v>
      </c>
    </row>
    <row r="137" spans="1:22">
      <c r="A137" s="315">
        <v>1395</v>
      </c>
      <c r="B137" s="316">
        <v>1253</v>
      </c>
      <c r="C137" s="32">
        <f t="shared" si="22"/>
        <v>23.2055063913471</v>
      </c>
      <c r="D137" s="239">
        <v>3800</v>
      </c>
      <c r="E137" s="32">
        <f t="shared" si="20"/>
        <v>329.73684210526318</v>
      </c>
      <c r="F137" s="18">
        <v>1100000</v>
      </c>
      <c r="G137" s="207">
        <f t="shared" si="21"/>
        <v>1139.090909090909</v>
      </c>
      <c r="H137" s="94" t="s">
        <v>25</v>
      </c>
      <c r="I137" s="94" t="s">
        <v>25</v>
      </c>
      <c r="J137" s="94"/>
      <c r="O137" s="97" t="s">
        <v>6547</v>
      </c>
      <c r="P137" s="18">
        <v>3000000</v>
      </c>
      <c r="Q137" s="97">
        <v>1</v>
      </c>
      <c r="R137" s="97">
        <f t="shared" si="18"/>
        <v>3</v>
      </c>
      <c r="S137" s="97">
        <f t="shared" si="19"/>
        <v>9000000</v>
      </c>
      <c r="T137" s="97"/>
    </row>
    <row r="138" spans="1:22">
      <c r="A138" s="315">
        <v>1396</v>
      </c>
      <c r="B138" s="316">
        <v>1530</v>
      </c>
      <c r="C138" s="32">
        <f t="shared" si="22"/>
        <v>22.106943335993616</v>
      </c>
      <c r="D138" s="239">
        <v>4500</v>
      </c>
      <c r="E138" s="32">
        <f>B138*1000/D138</f>
        <v>340</v>
      </c>
      <c r="F138" s="18">
        <v>1400000</v>
      </c>
      <c r="G138" s="207">
        <f>B138*1000*1000/F138</f>
        <v>1092.8571428571429</v>
      </c>
      <c r="H138" s="94"/>
      <c r="I138" s="94"/>
      <c r="J138" s="94"/>
      <c r="O138" s="97" t="s">
        <v>6549</v>
      </c>
      <c r="P138" s="18">
        <v>255000</v>
      </c>
      <c r="Q138" s="97">
        <v>1</v>
      </c>
      <c r="R138" s="97">
        <f t="shared" si="18"/>
        <v>2</v>
      </c>
      <c r="S138" s="97">
        <f t="shared" si="19"/>
        <v>510000</v>
      </c>
      <c r="T138" s="97" t="s">
        <v>6550</v>
      </c>
    </row>
    <row r="139" spans="1:22">
      <c r="A139" s="315">
        <v>1397</v>
      </c>
      <c r="B139" s="316">
        <v>1882</v>
      </c>
      <c r="C139" s="32">
        <f t="shared" si="22"/>
        <v>23.006535947712418</v>
      </c>
      <c r="D139" s="239">
        <v>12000</v>
      </c>
      <c r="E139" s="32">
        <f>B139*1000/D139</f>
        <v>156.83333333333334</v>
      </c>
      <c r="F139" s="18">
        <v>4750000</v>
      </c>
      <c r="G139" s="207">
        <f t="shared" ref="G139:G142" si="23">B139*1000*1000/F139</f>
        <v>396.21052631578948</v>
      </c>
      <c r="H139" s="94"/>
      <c r="I139" s="94"/>
      <c r="J139" s="94"/>
      <c r="O139" s="97" t="s">
        <v>6552</v>
      </c>
      <c r="P139" s="18">
        <v>-3255000</v>
      </c>
      <c r="Q139" s="97">
        <v>1</v>
      </c>
      <c r="R139" s="97">
        <f t="shared" si="18"/>
        <v>1</v>
      </c>
      <c r="S139" s="97">
        <f t="shared" si="19"/>
        <v>-3255000</v>
      </c>
      <c r="T139" s="97"/>
      <c r="V139" t="s">
        <v>25</v>
      </c>
    </row>
    <row r="140" spans="1:22">
      <c r="A140" s="315">
        <v>1398</v>
      </c>
      <c r="B140" s="316">
        <v>2472</v>
      </c>
      <c r="C140" s="32">
        <f t="shared" si="22"/>
        <v>31.349628055260361</v>
      </c>
      <c r="D140" s="239">
        <v>15000</v>
      </c>
      <c r="E140" s="32">
        <f t="shared" ref="E140:E142" si="24">B140*1000/D140</f>
        <v>164.8</v>
      </c>
      <c r="F140" s="18">
        <v>6600000</v>
      </c>
      <c r="G140" s="207">
        <f t="shared" si="23"/>
        <v>374.54545454545456</v>
      </c>
      <c r="M140" t="s">
        <v>25</v>
      </c>
      <c r="O140" s="97"/>
      <c r="P140" s="18"/>
      <c r="Q140" s="97"/>
      <c r="R140" s="97">
        <f t="shared" si="18"/>
        <v>0</v>
      </c>
      <c r="S140" s="97">
        <f t="shared" si="19"/>
        <v>0</v>
      </c>
      <c r="T140" s="97"/>
    </row>
    <row r="141" spans="1:22">
      <c r="A141" s="315">
        <v>1399</v>
      </c>
      <c r="B141" s="316">
        <v>3350</v>
      </c>
      <c r="C141" s="32">
        <v>30</v>
      </c>
      <c r="D141" s="239">
        <v>25000</v>
      </c>
      <c r="E141" s="32">
        <f t="shared" si="24"/>
        <v>134</v>
      </c>
      <c r="F141" s="18">
        <v>12000000</v>
      </c>
      <c r="G141" s="207">
        <f t="shared" si="23"/>
        <v>279.16666666666669</v>
      </c>
      <c r="O141" s="97"/>
      <c r="P141" s="18"/>
      <c r="Q141" s="97"/>
      <c r="R141" s="97">
        <f t="shared" si="18"/>
        <v>0</v>
      </c>
      <c r="S141" s="97">
        <f t="shared" si="19"/>
        <v>0</v>
      </c>
      <c r="T141" s="97"/>
    </row>
    <row r="142" spans="1:22">
      <c r="A142" s="315">
        <v>1400</v>
      </c>
      <c r="B142" s="316">
        <f>B141*(1+C141/100)</f>
        <v>4355</v>
      </c>
      <c r="C142" s="32">
        <f t="shared" ref="C142" si="25">B142-B141</f>
        <v>1005</v>
      </c>
      <c r="D142" s="239">
        <v>32000</v>
      </c>
      <c r="E142" s="32">
        <f t="shared" si="24"/>
        <v>136.09375</v>
      </c>
      <c r="F142" s="18">
        <v>15000000</v>
      </c>
      <c r="G142" s="207">
        <f t="shared" si="23"/>
        <v>290.33333333333331</v>
      </c>
      <c r="O142" s="97"/>
      <c r="P142" s="18"/>
      <c r="Q142" s="97"/>
      <c r="R142" s="97">
        <f t="shared" si="18"/>
        <v>0</v>
      </c>
      <c r="S142" s="97">
        <f t="shared" si="19"/>
        <v>0</v>
      </c>
      <c r="T142" s="97"/>
    </row>
    <row r="143" spans="1:22">
      <c r="A143" s="94"/>
      <c r="B143" s="94"/>
      <c r="E143" s="94"/>
      <c r="F143" s="94"/>
      <c r="G143" s="94"/>
      <c r="O143" s="97"/>
      <c r="P143" s="18"/>
      <c r="Q143" s="97"/>
      <c r="R143" s="97">
        <f t="shared" si="18"/>
        <v>0</v>
      </c>
      <c r="S143" s="97">
        <f t="shared" si="19"/>
        <v>0</v>
      </c>
      <c r="T143" s="97"/>
    </row>
    <row r="144" spans="1:22">
      <c r="A144" s="94"/>
      <c r="B144" s="94"/>
      <c r="E144" s="94"/>
      <c r="F144" s="94"/>
      <c r="G144" s="94"/>
      <c r="O144" s="97"/>
      <c r="P144" s="18"/>
      <c r="Q144" s="97"/>
      <c r="R144" s="97">
        <f t="shared" si="18"/>
        <v>0</v>
      </c>
      <c r="S144" s="97"/>
      <c r="T144" s="97"/>
    </row>
    <row r="145" spans="1:20">
      <c r="A145" s="94"/>
      <c r="B145" s="94"/>
      <c r="E145" s="94"/>
      <c r="F145" s="94"/>
      <c r="G145" s="94"/>
      <c r="O145" s="97"/>
      <c r="P145" s="18">
        <f>SUM(P28:P144)</f>
        <v>0</v>
      </c>
      <c r="Q145" s="97"/>
      <c r="R145" s="97"/>
      <c r="S145" s="18">
        <f>SUM(S28:S144)</f>
        <v>11494722500</v>
      </c>
      <c r="T145" s="97"/>
    </row>
    <row r="146" spans="1:20">
      <c r="A146" s="94"/>
      <c r="B146" s="94"/>
      <c r="E146" s="94"/>
      <c r="P146" t="s">
        <v>4913</v>
      </c>
    </row>
    <row r="147" spans="1:20">
      <c r="A147" s="94"/>
      <c r="B147" s="94"/>
      <c r="E147" s="94"/>
    </row>
    <row r="148" spans="1:20">
      <c r="A148" s="94"/>
      <c r="B148" s="94"/>
      <c r="E148" s="94"/>
      <c r="O148" t="s">
        <v>6506</v>
      </c>
      <c r="P148" s="18">
        <v>70000000</v>
      </c>
    </row>
    <row r="149" spans="1:20">
      <c r="A149" s="94"/>
      <c r="B149" s="94"/>
      <c r="E149" s="94"/>
      <c r="O149" t="s">
        <v>25</v>
      </c>
    </row>
    <row r="150" spans="1:20">
      <c r="P150">
        <v>1</v>
      </c>
      <c r="Q150" t="s">
        <v>25</v>
      </c>
      <c r="R150" t="s">
        <v>25</v>
      </c>
    </row>
    <row r="151" spans="1:20">
      <c r="O151" t="s">
        <v>25</v>
      </c>
      <c r="R151" t="s">
        <v>25</v>
      </c>
    </row>
    <row r="152" spans="1:20">
      <c r="P152" t="s">
        <v>25</v>
      </c>
      <c r="R152" t="s">
        <v>25</v>
      </c>
    </row>
    <row r="153" spans="1:20">
      <c r="R153" t="s">
        <v>25</v>
      </c>
    </row>
    <row r="154" spans="1:20">
      <c r="O154" t="s">
        <v>25</v>
      </c>
    </row>
    <row r="155" spans="1:20">
      <c r="T155" t="s">
        <v>25</v>
      </c>
    </row>
    <row r="156" spans="1:20">
      <c r="R156"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6505</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L123" zoomScale="80" zoomScaleNormal="80" workbookViewId="0">
      <selection activeCell="Y155" sqref="Y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4370220531.3505373</v>
      </c>
      <c r="M21" s="166" t="s">
        <v>4275</v>
      </c>
      <c r="N21" s="111">
        <f>O21*P21</f>
        <v>2399587980</v>
      </c>
      <c r="O21" s="97">
        <v>2602590</v>
      </c>
      <c r="P21" s="183">
        <f>P50</f>
        <v>922</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424350</v>
      </c>
      <c r="O22" s="97">
        <v>369</v>
      </c>
      <c r="P22" s="183">
        <f>P53</f>
        <v>1150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58176440</v>
      </c>
      <c r="O23" s="97">
        <v>33628</v>
      </c>
      <c r="P23" s="183">
        <f>P51</f>
        <v>1730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4282156839.3505373</v>
      </c>
      <c r="G24" s="93">
        <f t="shared" si="0"/>
        <v>-4001850493.9685988</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7000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285253892</v>
      </c>
      <c r="O31" s="67">
        <v>309386</v>
      </c>
      <c r="P31" s="97">
        <f>P50</f>
        <v>922</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-4370220531.3505373</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-12584378</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6526</v>
      </c>
      <c r="N44" s="115">
        <f>O44*P44</f>
        <v>33543282</v>
      </c>
      <c r="O44" s="67">
        <v>36381</v>
      </c>
      <c r="P44" s="67">
        <f>P50</f>
        <v>922</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6501</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18440000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6551</v>
      </c>
      <c r="L49" s="115">
        <v>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4054764224</v>
      </c>
      <c r="O50" s="97">
        <v>4397792</v>
      </c>
      <c r="P50" s="97">
        <v>922</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6546</v>
      </c>
      <c r="L51" s="115">
        <v>5000000</v>
      </c>
      <c r="M51" s="19" t="s">
        <v>5923</v>
      </c>
      <c r="N51" s="111">
        <f>O51*P51</f>
        <v>32389060</v>
      </c>
      <c r="O51" s="97">
        <v>18722</v>
      </c>
      <c r="P51" s="97">
        <v>1730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7000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128625200</v>
      </c>
      <c r="O53" s="97">
        <v>111848</v>
      </c>
      <c r="P53" s="97">
        <v>1150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1020000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-80958035.867130399</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2652660463.7823324</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4282156839.3505373</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4382156839.3505373</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6484</v>
      </c>
      <c r="S73" s="194">
        <f>S72-3</f>
        <v>11</v>
      </c>
      <c r="T73" s="207" t="s">
        <v>6485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6486</v>
      </c>
      <c r="S74" s="194">
        <f>S73-1</f>
        <v>10</v>
      </c>
      <c r="T74" s="207" t="s">
        <v>6487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6488</v>
      </c>
      <c r="S75" s="194">
        <f>S74-1</f>
        <v>9</v>
      </c>
      <c r="T75" s="207" t="s">
        <v>6489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6491</v>
      </c>
      <c r="S76" s="194">
        <f>S75-2</f>
        <v>7</v>
      </c>
      <c r="T76" s="207" t="s">
        <v>6492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6491</v>
      </c>
      <c r="S77" s="194">
        <f>S76</f>
        <v>7</v>
      </c>
      <c r="T77" s="207" t="s">
        <v>6493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689189452.67580938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11062.906724511931</v>
      </c>
      <c r="G107" s="196">
        <f>P50</f>
        <v>922</v>
      </c>
      <c r="H107" s="196" t="s">
        <v>4704</v>
      </c>
      <c r="I107" s="196" t="s">
        <v>5299</v>
      </c>
      <c r="J107" s="208" t="s">
        <v>4219</v>
      </c>
      <c r="K107" s="196">
        <v>210</v>
      </c>
      <c r="L107" s="209">
        <f t="shared" ref="L107:L112" si="40">K107*$L$115</f>
        <v>2142000000</v>
      </c>
      <c r="M107" s="209">
        <f>N21+N31+N50+N44</f>
        <v>6773149378</v>
      </c>
      <c r="N107" s="181">
        <f t="shared" ref="N107:N112" si="41">L107-M107</f>
        <v>-4631149378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19500</v>
      </c>
      <c r="H108" s="207" t="s">
        <v>4863</v>
      </c>
      <c r="I108" s="207" t="s">
        <v>5300</v>
      </c>
      <c r="J108" s="32" t="s">
        <v>4361</v>
      </c>
      <c r="K108" s="207">
        <v>33</v>
      </c>
      <c r="L108" s="1">
        <f t="shared" si="40"/>
        <v>336600000</v>
      </c>
      <c r="M108" s="1">
        <f>N49+N28+N22</f>
        <v>33032390</v>
      </c>
      <c r="N108" s="111">
        <f t="shared" si="41"/>
        <v>303567610</v>
      </c>
      <c r="P108" s="94"/>
      <c r="Q108" s="111">
        <f>SUM(N28:N31)-SUM(Q87:Q107)</f>
        <v>304293314.7462979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10200000</v>
      </c>
      <c r="M111" s="209">
        <v>0</v>
      </c>
      <c r="N111" s="181">
        <f t="shared" si="41"/>
        <v>10200000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4335000000</v>
      </c>
      <c r="M112" s="240">
        <v>0</v>
      </c>
      <c r="N112" s="84">
        <f t="shared" si="41"/>
        <v>4335000000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10200000</v>
      </c>
      <c r="M115" s="1">
        <f>K115*L115</f>
        <v>0</v>
      </c>
      <c r="N115" s="111">
        <f>SUM(N107:N113)-M115</f>
        <v>-4971977</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922</v>
      </c>
      <c r="H125" s="97" t="s">
        <v>4219</v>
      </c>
      <c r="I125" s="97">
        <v>51250</v>
      </c>
      <c r="J125" s="1">
        <f>I125*G125</f>
        <v>47252500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14533000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6500</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922</v>
      </c>
      <c r="H138" s="207" t="s">
        <v>4219</v>
      </c>
      <c r="I138" s="207">
        <v>20000</v>
      </c>
      <c r="J138" s="1">
        <f>G138*I138</f>
        <v>18440000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6555</v>
      </c>
      <c r="U139" s="207">
        <v>1275</v>
      </c>
      <c r="V139" s="97">
        <f t="shared" si="42"/>
        <v>1351.1087671232879</v>
      </c>
      <c r="W139" s="32">
        <f t="shared" si="56"/>
        <v>1378.1309424657536</v>
      </c>
      <c r="X139" s="32">
        <f t="shared" si="57"/>
        <v>1405.1531178082193</v>
      </c>
      <c r="Y139" s="94"/>
      <c r="Z139" s="94">
        <v>27674</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6515</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-131560000</v>
      </c>
      <c r="J141" s="1">
        <f>SUM(J138:J139)</f>
        <v>18440000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6537</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7329768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118003.98264642083</v>
      </c>
      <c r="H147" s="280" t="s">
        <v>5459</v>
      </c>
      <c r="I147" s="32">
        <f>(J138+N30+N50+N48+N31+N24+N21)/P49</f>
        <v>348731.79979487177</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7447771.9826464206</v>
      </c>
      <c r="H148" s="32" t="s">
        <v>5460</v>
      </c>
      <c r="I148" s="32">
        <f>I146+I147</f>
        <v>412341.79979487177</v>
      </c>
      <c r="J148" s="112"/>
      <c r="K148" s="94"/>
      <c r="L148" s="94"/>
      <c r="N148" s="94"/>
      <c r="O148" s="94"/>
      <c r="Q148" s="167"/>
      <c r="R148" s="207" t="s">
        <v>6500</v>
      </c>
      <c r="S148" s="207">
        <f>S147-14</f>
        <v>0</v>
      </c>
      <c r="T148" s="207" t="s">
        <v>6502</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346402.92541565781</v>
      </c>
      <c r="H149" s="32" t="s">
        <v>5436</v>
      </c>
      <c r="I149" s="32">
        <f>(W169+W170)/P49</f>
        <v>16378.640883755717</v>
      </c>
      <c r="J149" s="112"/>
      <c r="K149" s="94"/>
      <c r="L149" s="94"/>
      <c r="M149" s="94"/>
      <c r="N149" s="94"/>
      <c r="O149" s="94"/>
      <c r="Q149" s="167"/>
      <c r="R149" s="207" t="s">
        <v>6508</v>
      </c>
      <c r="S149" s="207">
        <f>S148-4</f>
        <v>-4</v>
      </c>
      <c r="T149" s="207" t="s">
        <v>6514</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2696060.3681303975</v>
      </c>
      <c r="H150" s="32" t="s">
        <v>481</v>
      </c>
      <c r="I150" s="32">
        <f>W167/P49</f>
        <v>127475.26458544751</v>
      </c>
      <c r="J150" s="112"/>
      <c r="K150" s="94"/>
      <c r="L150" s="94"/>
      <c r="N150" s="94"/>
      <c r="O150" s="94"/>
      <c r="Q150" s="167"/>
      <c r="R150" s="207" t="s">
        <v>6527</v>
      </c>
      <c r="S150" s="207">
        <f>S149-2</f>
        <v>-6</v>
      </c>
      <c r="T150" s="207" t="s">
        <v>6528</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4405308.6891003661</v>
      </c>
      <c r="H151" s="32" t="s">
        <v>5</v>
      </c>
      <c r="I151" s="32">
        <f>I148-I149-I150</f>
        <v>268487.89432566857</v>
      </c>
      <c r="J151" s="112"/>
      <c r="K151" s="94"/>
      <c r="L151" s="94"/>
      <c r="M151" t="s">
        <v>25</v>
      </c>
      <c r="N151" s="94"/>
      <c r="O151" s="94"/>
      <c r="Q151" s="167"/>
      <c r="R151" s="207" t="s">
        <v>6529</v>
      </c>
      <c r="S151" s="207">
        <f>S150-4</f>
        <v>-10</v>
      </c>
      <c r="T151" s="207" t="s">
        <v>6530</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6531</v>
      </c>
      <c r="S152" s="207">
        <f>S151-1</f>
        <v>-11</v>
      </c>
      <c r="T152" s="207" t="s">
        <v>6532</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6535</v>
      </c>
      <c r="S153" s="207">
        <f>S152-1</f>
        <v>-12</v>
      </c>
      <c r="T153" s="207" t="s">
        <v>6536</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6538</v>
      </c>
      <c r="S154" s="207">
        <f>S153-2</f>
        <v>-14</v>
      </c>
      <c r="T154" s="207" t="s">
        <v>6558</v>
      </c>
      <c r="U154" s="207">
        <v>936</v>
      </c>
      <c r="V154" s="97">
        <f>U154*(1+$R$112+$Q$15*S154/36500)</f>
        <v>940.17481643835617</v>
      </c>
      <c r="W154" s="32">
        <f t="shared" si="59"/>
        <v>958.97831276712327</v>
      </c>
      <c r="X154" s="32">
        <f t="shared" si="60"/>
        <v>977.78180909589048</v>
      </c>
      <c r="Y154" s="94">
        <v>10119</v>
      </c>
      <c r="Z154" s="94"/>
      <c r="AA154" s="94"/>
      <c r="AH154" s="97">
        <v>134</v>
      </c>
      <c r="AI154" s="111" t="s">
        <v>4854</v>
      </c>
      <c r="AJ154" s="111">
        <v>1550000</v>
      </c>
      <c r="AK154" s="97">
        <v>2</v>
      </c>
      <c r="AL154" s="20">
        <f t="shared" si="58"/>
        <v>637</v>
      </c>
      <c r="AM154" s="115">
        <f t="shared" si="61"/>
        <v>987350000</v>
      </c>
      <c r="AN154" s="20"/>
    </row>
    <row r="155" spans="5:44">
      <c r="P155" s="112"/>
      <c r="Q155" s="167"/>
      <c r="R155" s="207" t="s">
        <v>6556</v>
      </c>
      <c r="S155" s="207">
        <f>S154-6</f>
        <v>-20</v>
      </c>
      <c r="T155" s="207" t="s">
        <v>6557</v>
      </c>
      <c r="U155" s="207">
        <v>1711</v>
      </c>
      <c r="V155" s="97">
        <f>U155*(1+$R$112+$Q$15*S155/36500)</f>
        <v>1710.7562410958906</v>
      </c>
      <c r="W155" s="32">
        <f t="shared" si="59"/>
        <v>1744.9713659178085</v>
      </c>
      <c r="X155" s="32">
        <f t="shared" si="60"/>
        <v>1779.1864907397262</v>
      </c>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2450866247.36867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12579</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2460</v>
      </c>
      <c r="S163" s="1">
        <f>S162*R163/R162</f>
        <v>29750883.03712555</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10119</v>
      </c>
      <c r="S164" s="1">
        <f>R164*S162/R162</f>
        <v>122377717.66368841</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2485767659.4162264</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4370220531.3505373</v>
      </c>
      <c r="X168" s="94">
        <f>W168*100/$W$173</f>
        <v>60.905841834775444</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80958035.867130399</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238425461.36610609</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7175371688</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98780886.633893907</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-17822850.766763508</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-25841461.3505373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4328583266</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2493786270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337206348</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t="s">
        <v>6533</v>
      </c>
      <c r="R191" s="93">
        <v>5621595</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6503</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6504</v>
      </c>
      <c r="R196" s="93">
        <f>-1000*P50</f>
        <v>-922000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6516</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6517</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7175371688</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6495</v>
      </c>
      <c r="R250" s="19" t="s">
        <v>6491</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4328947866</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3840466916.938436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3606020632.6936245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6488</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6491</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6496</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6500</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6491</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6538</v>
      </c>
      <c r="AJ472" s="186">
        <v>-20000000</v>
      </c>
      <c r="AK472" s="147">
        <v>0</v>
      </c>
      <c r="AL472" s="147">
        <f t="shared" si="110"/>
        <v>1</v>
      </c>
      <c r="AM472" s="147">
        <f t="shared" si="111"/>
        <v>-20000000</v>
      </c>
      <c r="AN472" s="147" t="s">
        <v>6539</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6538</v>
      </c>
      <c r="AJ473" s="186">
        <v>2000000</v>
      </c>
      <c r="AK473" s="147">
        <v>1</v>
      </c>
      <c r="AL473" s="147">
        <f t="shared" si="110"/>
        <v>1</v>
      </c>
      <c r="AM473" s="147">
        <f t="shared" si="111"/>
        <v>2000000</v>
      </c>
      <c r="AN473" s="147" t="s">
        <v>6540</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2830994227</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2629201550.151772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2507213512.6070194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6488</v>
      </c>
      <c r="U489" s="19">
        <v>325</v>
      </c>
      <c r="V489" s="115">
        <v>1789.1845169999999</v>
      </c>
      <c r="W489" s="115">
        <f t="shared" si="93"/>
        <v>581484.96802499995</v>
      </c>
      <c r="X489" s="264" t="s">
        <v>5116</v>
      </c>
      <c r="Z489" t="s">
        <v>25</v>
      </c>
    </row>
    <row r="490" spans="17:40">
      <c r="Q490" s="97" t="s">
        <v>5704</v>
      </c>
      <c r="R490" s="93">
        <v>11538335.631417999</v>
      </c>
      <c r="T490" s="19" t="s">
        <v>6491</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6491</v>
      </c>
      <c r="U491" s="19">
        <v>3240</v>
      </c>
      <c r="V491" s="115">
        <v>1851.788857</v>
      </c>
      <c r="W491" s="115">
        <f t="shared" si="93"/>
        <v>5999795.8966800002</v>
      </c>
      <c r="X491" s="264" t="s">
        <v>6494</v>
      </c>
      <c r="AN491" t="s">
        <v>25</v>
      </c>
    </row>
    <row r="492" spans="17:40">
      <c r="Q492" s="97" t="s">
        <v>5716</v>
      </c>
      <c r="R492" s="93">
        <v>5031176.5087869996</v>
      </c>
      <c r="T492" s="19" t="s">
        <v>6491</v>
      </c>
      <c r="U492" s="19">
        <v>-3240</v>
      </c>
      <c r="V492" s="115">
        <v>1851.788857</v>
      </c>
      <c r="W492" s="115">
        <f t="shared" si="93"/>
        <v>-5999795.8966800002</v>
      </c>
      <c r="X492" s="264" t="s">
        <v>6495</v>
      </c>
      <c r="Z492" t="s">
        <v>25</v>
      </c>
      <c r="AA492" t="s">
        <v>25</v>
      </c>
      <c r="AB492" t="s">
        <v>25</v>
      </c>
    </row>
    <row r="493" spans="17:40">
      <c r="Q493" s="97" t="s">
        <v>5720</v>
      </c>
      <c r="R493" s="93">
        <v>6822803.9080700008</v>
      </c>
      <c r="T493" s="19" t="s">
        <v>6496</v>
      </c>
      <c r="U493" s="19">
        <v>330</v>
      </c>
      <c r="V493" s="115">
        <v>1799.34311</v>
      </c>
      <c r="W493" s="115">
        <f t="shared" si="93"/>
        <v>593783.22629999998</v>
      </c>
      <c r="X493" s="264" t="s">
        <v>5116</v>
      </c>
    </row>
    <row r="494" spans="17:40">
      <c r="Q494" s="97" t="s">
        <v>5730</v>
      </c>
      <c r="R494" s="93">
        <v>330889.73324399994</v>
      </c>
      <c r="T494" s="19" t="s">
        <v>6500</v>
      </c>
      <c r="U494" s="19">
        <v>266</v>
      </c>
      <c r="V494" s="115">
        <v>1764.9246700000001</v>
      </c>
      <c r="W494" s="115">
        <f t="shared" si="93"/>
        <v>469469.96222000004</v>
      </c>
      <c r="X494" s="264" t="s">
        <v>5116</v>
      </c>
      <c r="Y494" t="s">
        <v>25</v>
      </c>
      <c r="AA494" t="s">
        <v>25</v>
      </c>
    </row>
    <row r="495" spans="17:40">
      <c r="Q495" s="97" t="s">
        <v>5731</v>
      </c>
      <c r="R495" s="93">
        <v>6610318.1610199995</v>
      </c>
      <c r="T495" s="187" t="s">
        <v>6538</v>
      </c>
      <c r="U495" s="187">
        <v>-10637</v>
      </c>
      <c r="V495" s="186">
        <v>1739.5916549999999</v>
      </c>
      <c r="W495" s="186">
        <f t="shared" si="93"/>
        <v>-18504036.434234999</v>
      </c>
      <c r="X495" s="263" t="s">
        <v>6541</v>
      </c>
      <c r="Y495" t="s">
        <v>25</v>
      </c>
      <c r="AA495" t="s">
        <v>25</v>
      </c>
    </row>
    <row r="496" spans="17:40">
      <c r="Q496" s="97" t="s">
        <v>5733</v>
      </c>
      <c r="R496" s="93">
        <v>710713.17725199996</v>
      </c>
      <c r="T496" s="19" t="s">
        <v>6538</v>
      </c>
      <c r="U496" s="19">
        <v>10637</v>
      </c>
      <c r="V496" s="115">
        <v>1739.5916549999999</v>
      </c>
      <c r="W496" s="115">
        <f t="shared" si="93"/>
        <v>18504036.434234999</v>
      </c>
      <c r="X496" s="264" t="s">
        <v>6542</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1664.9125132054949</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-282.25026616879001</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7175371688</v>
      </c>
      <c r="V520" s="93">
        <f>U520-T520</f>
        <v>4778359080.2047968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6488</v>
      </c>
      <c r="R532" s="93">
        <v>581484.96802499995</v>
      </c>
      <c r="T532" t="s">
        <v>25</v>
      </c>
    </row>
    <row r="533" spans="17:24">
      <c r="Q533" s="97" t="s">
        <v>6491</v>
      </c>
      <c r="R533" s="93">
        <v>2136964.3409779998</v>
      </c>
      <c r="T533" s="97" t="s">
        <v>4737</v>
      </c>
      <c r="U533" s="97"/>
      <c r="V533" s="97"/>
    </row>
    <row r="534" spans="17:24">
      <c r="Q534" s="97" t="s">
        <v>6496</v>
      </c>
      <c r="R534" s="93">
        <v>593783.22629999998</v>
      </c>
      <c r="T534" s="97" t="s">
        <v>452</v>
      </c>
      <c r="U534" s="97">
        <v>4217700</v>
      </c>
      <c r="V534" s="35">
        <f>U534*80</f>
        <v>337416000</v>
      </c>
      <c r="W534" s="94" t="s">
        <v>25</v>
      </c>
    </row>
    <row r="535" spans="17:24">
      <c r="Q535" s="97" t="s">
        <v>6500</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U19" sqref="U1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1.3605442176870748</v>
      </c>
      <c r="J1" s="20">
        <f t="shared" ref="J1:J30" si="2">I1/H1</f>
        <v>1.0967190958059216</v>
      </c>
      <c r="K1" s="97">
        <f t="shared" ref="K1:K27" si="3">(1/J1-1.0256)*100</f>
        <v>-11.378948824343016</v>
      </c>
      <c r="L1" s="20"/>
      <c r="M1" s="20"/>
      <c r="N1" s="20">
        <v>1</v>
      </c>
      <c r="P1" s="94"/>
      <c r="Q1" s="67" t="s">
        <v>5923</v>
      </c>
      <c r="R1" s="317">
        <v>1711</v>
      </c>
      <c r="S1" s="94" t="s">
        <v>5870</v>
      </c>
      <c r="T1" s="94" t="s">
        <v>5871</v>
      </c>
      <c r="U1" s="94"/>
      <c r="V1" s="94"/>
      <c r="W1" s="94"/>
      <c r="X1" s="5" t="s">
        <v>6509</v>
      </c>
      <c r="Y1" s="5" t="s">
        <v>6510</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1.3605442176870748</v>
      </c>
      <c r="J2" s="20">
        <f t="shared" si="2"/>
        <v>1.0353392703914186</v>
      </c>
      <c r="K2" s="97">
        <f t="shared" si="3"/>
        <v>-5.9733033877927166</v>
      </c>
      <c r="L2" s="20" t="s">
        <v>25</v>
      </c>
      <c r="M2" s="20"/>
      <c r="N2" s="20">
        <f>H2/H1</f>
        <v>1.0592847457542085</v>
      </c>
      <c r="P2" s="94"/>
      <c r="Q2" s="97" t="s">
        <v>4219</v>
      </c>
      <c r="R2" s="284">
        <v>949</v>
      </c>
      <c r="S2" s="94">
        <v>80</v>
      </c>
      <c r="T2" s="112">
        <v>1099</v>
      </c>
      <c r="U2" s="94">
        <f>S2/T2</f>
        <v>7.2793448589626927E-2</v>
      </c>
      <c r="V2" s="94"/>
      <c r="W2" s="94"/>
      <c r="X2" s="5" t="s">
        <v>744</v>
      </c>
      <c r="Y2" s="5" t="s">
        <v>6511</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1.3605442176870748</v>
      </c>
      <c r="J3" s="20">
        <f t="shared" si="2"/>
        <v>1.0259686263507817</v>
      </c>
      <c r="K3" s="97">
        <f t="shared" si="3"/>
        <v>-5.0911325983863946</v>
      </c>
      <c r="L3" s="20"/>
      <c r="M3" s="20"/>
      <c r="N3" s="20">
        <f>H3/H2</f>
        <v>1.0091334606146456</v>
      </c>
      <c r="P3" s="113"/>
      <c r="Q3" s="97" t="s">
        <v>5280</v>
      </c>
      <c r="R3" s="299">
        <v>1166</v>
      </c>
      <c r="S3" s="113"/>
      <c r="T3" s="113"/>
      <c r="U3" s="113"/>
      <c r="V3" s="113"/>
      <c r="W3" s="113"/>
      <c r="X3" s="5" t="s">
        <v>1071</v>
      </c>
      <c r="Y3" s="35" t="s">
        <v>6512</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21.074815595363539</v>
      </c>
      <c r="J4" s="97">
        <f t="shared" si="2"/>
        <v>1.1901809290340917</v>
      </c>
      <c r="K4" s="97">
        <f t="shared" si="3"/>
        <v>-18.539161184210517</v>
      </c>
      <c r="L4" s="97"/>
      <c r="M4" s="97"/>
      <c r="N4" s="282">
        <v>1</v>
      </c>
      <c r="P4" s="113"/>
      <c r="Q4" s="97" t="s">
        <v>4357</v>
      </c>
      <c r="R4" s="298">
        <v>14700</v>
      </c>
      <c r="S4" s="113"/>
      <c r="T4" s="113"/>
      <c r="U4" s="113"/>
      <c r="X4" s="5" t="s">
        <v>452</v>
      </c>
      <c r="Y4" s="5" t="s">
        <v>6513</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21.074815595363539</v>
      </c>
      <c r="J5" s="97">
        <f t="shared" si="2"/>
        <v>1.1725631192293107</v>
      </c>
      <c r="K5" s="97">
        <f t="shared" si="3"/>
        <v>-17.276744574290483</v>
      </c>
      <c r="L5" s="97"/>
      <c r="M5" s="97"/>
      <c r="N5" s="282">
        <f>H5/H4</f>
        <v>1.015025041736227</v>
      </c>
      <c r="P5" s="113"/>
      <c r="Q5" s="97" t="s">
        <v>4361</v>
      </c>
      <c r="R5" s="283">
        <v>20000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21.074815595363539</v>
      </c>
      <c r="J6" s="97">
        <f t="shared" si="2"/>
        <v>1.1627754471155436</v>
      </c>
      <c r="K6" s="97">
        <f t="shared" si="3"/>
        <v>-16.558872053872054</v>
      </c>
      <c r="L6" s="97"/>
      <c r="M6" s="97"/>
      <c r="N6" s="282">
        <f>H6/H5</f>
        <v>1.0084175084175084</v>
      </c>
      <c r="P6" s="113"/>
      <c r="Q6" s="67" t="s">
        <v>5885</v>
      </c>
      <c r="R6" s="303">
        <v>320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21.074815595363539</v>
      </c>
      <c r="J7" s="97">
        <f t="shared" si="2"/>
        <v>1.1588603782700366</v>
      </c>
      <c r="K7" s="97">
        <f t="shared" si="3"/>
        <v>-16.268327702702699</v>
      </c>
      <c r="L7" s="36"/>
      <c r="M7" s="97"/>
      <c r="N7" s="282">
        <f>H7/H6</f>
        <v>1.0033783783783783</v>
      </c>
      <c r="O7" s="94"/>
      <c r="P7" s="113"/>
      <c r="Q7" s="67" t="s">
        <v>6501</v>
      </c>
      <c r="R7" s="322">
        <v>220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21.074815595363539</v>
      </c>
      <c r="J8" s="97">
        <f t="shared" si="2"/>
        <v>1.1758121080988009</v>
      </c>
      <c r="K8" s="97">
        <f t="shared" si="3"/>
        <v>-17.512398167006104</v>
      </c>
      <c r="L8" s="36"/>
      <c r="M8" s="97"/>
      <c r="N8" s="282">
        <f>H8/H7</f>
        <v>0.98558296031142778</v>
      </c>
      <c r="P8" s="113"/>
      <c r="Q8" s="67" t="s">
        <v>5876</v>
      </c>
      <c r="R8" s="301">
        <v>120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15.489989462592202</v>
      </c>
      <c r="J9" s="20">
        <f t="shared" si="2"/>
        <v>1.1077814720206798</v>
      </c>
      <c r="K9" s="20">
        <f t="shared" si="3"/>
        <v>-12.289488598873033</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15.489989462592202</v>
      </c>
      <c r="J10" s="20">
        <f t="shared" si="2"/>
        <v>1.3473081852512701</v>
      </c>
      <c r="K10" s="20">
        <f t="shared" si="3"/>
        <v>-28.337931809009078</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15.489989462592202</v>
      </c>
      <c r="J11" s="20">
        <f t="shared" si="2"/>
        <v>1.3352632824788868</v>
      </c>
      <c r="K11" s="20">
        <f t="shared" si="3"/>
        <v>-27.668402730619391</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15.489989462592202</v>
      </c>
      <c r="J12" s="20">
        <f t="shared" si="2"/>
        <v>1.3224017272185824</v>
      </c>
      <c r="K12" s="20">
        <f t="shared" si="3"/>
        <v>-26.940014074595354</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15.489989462592202</v>
      </c>
      <c r="J13" s="20">
        <f t="shared" si="2"/>
        <v>1.30526765829057</v>
      </c>
      <c r="K13" s="20">
        <f t="shared" si="3"/>
        <v>-25.947360925678698</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15.489989462592202</v>
      </c>
      <c r="J14" s="20">
        <f t="shared" si="2"/>
        <v>1.3159443511129083</v>
      </c>
      <c r="K14" s="20">
        <f t="shared" si="3"/>
        <v>-26.568944667433001</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15.489989462592202</v>
      </c>
      <c r="J15" s="20">
        <f t="shared" si="2"/>
        <v>1.2832518088969189</v>
      </c>
      <c r="K15" s="20">
        <f t="shared" si="3"/>
        <v>-24.632971721770001</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15.489989462592202</v>
      </c>
      <c r="J16" s="20">
        <f t="shared" si="2"/>
        <v>1.2583532821107968</v>
      </c>
      <c r="K16" s="20">
        <f t="shared" si="3"/>
        <v>-23.091061172060357</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15.489989462592202</v>
      </c>
      <c r="J17" s="20">
        <f t="shared" si="2"/>
        <v>1.2348849368159487</v>
      </c>
      <c r="K17" s="20">
        <f t="shared" si="3"/>
        <v>-21.580795364269378</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15.489989462592202</v>
      </c>
      <c r="J18" s="20">
        <f t="shared" si="2"/>
        <v>1.2255156328017542</v>
      </c>
      <c r="K18" s="20">
        <f t="shared" si="3"/>
        <v>-20.961693684329763</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15.489989462592202</v>
      </c>
      <c r="J19" s="20">
        <f t="shared" si="2"/>
        <v>1.2034370990832033</v>
      </c>
      <c r="K19" s="20">
        <f t="shared" si="3"/>
        <v>-19.464672395273908</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15.489989462592202</v>
      </c>
      <c r="J20" s="20">
        <f t="shared" si="2"/>
        <v>1.1281817133344327</v>
      </c>
      <c r="K20" s="20">
        <f t="shared" si="3"/>
        <v>-13.921796758394656</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15.489989462592202</v>
      </c>
      <c r="J21" s="20">
        <f t="shared" si="2"/>
        <v>1.0886474420567938</v>
      </c>
      <c r="K21" s="321">
        <f t="shared" si="3"/>
        <v>-10.702897198133421</v>
      </c>
      <c r="L21" s="20"/>
      <c r="M21" s="20"/>
      <c r="N21" s="20">
        <f>H21/H20</f>
        <v>1.0363150362094695</v>
      </c>
    </row>
    <row r="22" spans="1:24" ht="21">
      <c r="A22" s="276" t="s">
        <v>6529</v>
      </c>
      <c r="B22" s="276" t="s">
        <v>4219</v>
      </c>
      <c r="C22" s="278">
        <v>1030</v>
      </c>
      <c r="D22" s="276">
        <v>1</v>
      </c>
      <c r="E22" s="297" t="s">
        <v>5280</v>
      </c>
      <c r="F22" s="318">
        <v>1232.5</v>
      </c>
      <c r="G22" s="297">
        <f t="shared" si="0"/>
        <v>0.82522911062813165</v>
      </c>
      <c r="H22" s="297">
        <f t="shared" si="1"/>
        <v>0.83569979716024345</v>
      </c>
      <c r="I22" s="297">
        <f>$R$2/$R$3</f>
        <v>0.81389365351629506</v>
      </c>
      <c r="J22" s="97">
        <f t="shared" si="2"/>
        <v>0.97390672617362484</v>
      </c>
      <c r="K22" s="320">
        <f t="shared" si="3"/>
        <v>0.11923745930915164</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12.607204116638078</v>
      </c>
      <c r="J23" s="97">
        <f t="shared" si="2"/>
        <v>1.2303574099571344</v>
      </c>
      <c r="K23" s="97">
        <f t="shared" si="3"/>
        <v>-21.282804291897595</v>
      </c>
      <c r="L23" s="97"/>
      <c r="M23" s="97"/>
      <c r="N23" s="97">
        <v>1</v>
      </c>
      <c r="P23">
        <f>I22/P22</f>
        <v>1.0213256936148061</v>
      </c>
      <c r="Q23" s="94">
        <f>I22/P22</f>
        <v>1.0213256936148061</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12.607204116638078</v>
      </c>
      <c r="J24" s="97">
        <f t="shared" si="2"/>
        <v>1.2185209730235458</v>
      </c>
      <c r="K24" s="320">
        <f t="shared" si="3"/>
        <v>-20.493296008957852</v>
      </c>
      <c r="L24" s="97" t="s">
        <v>25</v>
      </c>
      <c r="M24" s="97" t="s">
        <v>25</v>
      </c>
      <c r="N24" s="97">
        <f>H24/H23</f>
        <v>1.0097137736613746</v>
      </c>
      <c r="P24" s="112">
        <f>R3-R2</f>
        <v>217</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8.5914669783752196</v>
      </c>
      <c r="J25" s="97">
        <f t="shared" si="2"/>
        <v>1.1690320240230556</v>
      </c>
      <c r="K25" s="97">
        <f t="shared" si="3"/>
        <v>-17.019144022535528</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8.5914669783752196</v>
      </c>
      <c r="J26" s="97">
        <f t="shared" si="2"/>
        <v>1.1243607753538005</v>
      </c>
      <c r="K26" s="320">
        <f t="shared" si="3"/>
        <v>-13.620575758227449</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0.55464640561075396</v>
      </c>
      <c r="J27" s="97">
        <f t="shared" si="2"/>
        <v>1.0446374980433757</v>
      </c>
      <c r="K27" s="97">
        <f t="shared" si="3"/>
        <v>-6.8330131865821926</v>
      </c>
      <c r="L27" s="97"/>
      <c r="M27" s="97"/>
      <c r="N27" s="97">
        <v>1</v>
      </c>
      <c r="R27">
        <f>369/G22</f>
        <v>447.14854971503837</v>
      </c>
    </row>
    <row r="28" spans="1:24">
      <c r="A28" s="276" t="s">
        <v>6491</v>
      </c>
      <c r="B28" s="276" t="s">
        <v>4219</v>
      </c>
      <c r="C28" s="278">
        <v>948</v>
      </c>
      <c r="D28" s="276">
        <v>3000</v>
      </c>
      <c r="E28" s="150" t="s">
        <v>5923</v>
      </c>
      <c r="F28" s="150">
        <v>1712</v>
      </c>
      <c r="G28" s="150">
        <f t="shared" ref="G28" si="6">C28*D28*0.99114/(F28*1.0037158)</f>
        <v>1640.401186057893</v>
      </c>
      <c r="H28" s="150">
        <f t="shared" ref="H28" si="7">C28/F28</f>
        <v>0.55373831775700932</v>
      </c>
      <c r="I28" s="150">
        <f>$R$2/$R$1</f>
        <v>0.55464640561075396</v>
      </c>
      <c r="J28" s="97">
        <f>I28/H28</f>
        <v>1.0016399223687877</v>
      </c>
      <c r="K28" s="97">
        <f>(1/J28-1.0256)*100</f>
        <v>-2.7237237426509076</v>
      </c>
      <c r="L28" s="97"/>
      <c r="M28" s="97"/>
      <c r="N28" s="97">
        <f>H28/H27</f>
        <v>1.0429271784344443</v>
      </c>
    </row>
    <row r="29" spans="1:24">
      <c r="A29" s="297" t="s">
        <v>5874</v>
      </c>
      <c r="B29" s="297" t="s">
        <v>5280</v>
      </c>
      <c r="C29" s="297">
        <v>1461.2</v>
      </c>
      <c r="D29" s="297">
        <v>8502</v>
      </c>
      <c r="E29" s="23" t="s">
        <v>5876</v>
      </c>
      <c r="F29" s="35">
        <v>410</v>
      </c>
      <c r="G29" s="23">
        <f>C29*D29*0.99114/(F29*1.00103)</f>
        <v>30000.936926516904</v>
      </c>
      <c r="H29" s="23">
        <f>C29/F29</f>
        <v>3.5639024390243903</v>
      </c>
      <c r="I29" s="23">
        <f>$R$3/$R$8</f>
        <v>9.7166666666666668</v>
      </c>
      <c r="J29" s="97">
        <f>I29/H29</f>
        <v>2.7264120813942876</v>
      </c>
      <c r="K29" s="97">
        <f>(1/J29-1.0146358)*100</f>
        <v>-64.785338775049155</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45.9375</v>
      </c>
      <c r="J30" s="97">
        <f t="shared" si="2"/>
        <v>1.4619610046308624</v>
      </c>
      <c r="K30" s="97">
        <f>(1/J30-1.0146358)*100</f>
        <v>-33.062302754407881</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9858.8791272025755</v>
      </c>
      <c r="K32" s="97">
        <f>J32-D32</f>
        <v>-141.12087279742445</v>
      </c>
      <c r="L32" s="97"/>
      <c r="M32" s="97"/>
      <c r="N32" s="97"/>
      <c r="R32" t="s">
        <v>25</v>
      </c>
    </row>
    <row r="33" spans="1:20">
      <c r="A33" s="276" t="s">
        <v>6500</v>
      </c>
      <c r="B33" s="276" t="s">
        <v>4219</v>
      </c>
      <c r="C33" s="278">
        <v>990</v>
      </c>
      <c r="D33" s="276">
        <v>4000</v>
      </c>
      <c r="E33" s="302" t="s">
        <v>5885</v>
      </c>
      <c r="F33" s="319">
        <v>360</v>
      </c>
      <c r="G33" s="302">
        <v>4000</v>
      </c>
      <c r="H33" s="302"/>
      <c r="I33" s="319">
        <f>C33*D33*0.99114-F33*G33*1.00125</f>
        <v>2483114.4</v>
      </c>
      <c r="J33" s="97">
        <f>(G33*$R$6*0.99875+I33)/(R2*1.0037158)</f>
        <v>3948.9874693267025</v>
      </c>
      <c r="K33" s="97">
        <f>J33-D33</f>
        <v>-51.012530673297533</v>
      </c>
      <c r="L33" s="97"/>
      <c r="M33" s="97"/>
      <c r="N33" s="97"/>
      <c r="T33" t="s">
        <v>25</v>
      </c>
    </row>
    <row r="34" spans="1:20">
      <c r="A34" s="276" t="s">
        <v>6508</v>
      </c>
      <c r="B34" s="276" t="s">
        <v>4219</v>
      </c>
      <c r="C34" s="278">
        <v>930</v>
      </c>
      <c r="D34" s="276">
        <v>158000</v>
      </c>
      <c r="E34" s="302" t="s">
        <v>5885</v>
      </c>
      <c r="F34" s="319">
        <v>300</v>
      </c>
      <c r="G34" s="302">
        <v>158000</v>
      </c>
      <c r="H34" s="302"/>
      <c r="I34" s="319">
        <f>C34*D34*0.99114-F34*G34*1.00125</f>
        <v>98178861.599999994</v>
      </c>
      <c r="J34" s="97">
        <f>(G34*$R$6*0.99875+I34)/(R2*1.0037158)</f>
        <v>156085.62462295961</v>
      </c>
      <c r="K34" s="97">
        <f>J34-D34</f>
        <v>-1914.3753770403855</v>
      </c>
      <c r="L34" s="97"/>
      <c r="M34" s="97"/>
      <c r="N34" s="97"/>
      <c r="P34">
        <f>C32/F32</f>
        <v>2.6128205128205129</v>
      </c>
      <c r="Q34">
        <f>R2/R6</f>
        <v>2.9656250000000002</v>
      </c>
    </row>
    <row r="35" spans="1:20">
      <c r="A35" s="94"/>
      <c r="B35" s="94"/>
      <c r="C35" s="94"/>
      <c r="D35" s="94"/>
      <c r="E35" s="94"/>
      <c r="F35" s="94"/>
      <c r="G35" s="94" t="s">
        <v>6534</v>
      </c>
      <c r="H35" s="94"/>
      <c r="I35" s="94"/>
      <c r="J35" s="94"/>
      <c r="K35" s="94"/>
      <c r="L35" s="94"/>
      <c r="M35" s="94"/>
      <c r="N35" s="94"/>
      <c r="P35" s="112">
        <f>C32-F32</f>
        <v>629</v>
      </c>
      <c r="Q35" s="112">
        <f>R2-R6</f>
        <v>629</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21.074815595363539</v>
      </c>
      <c r="J38" s="97">
        <f>I38/H38</f>
        <v>1.1617966799041668</v>
      </c>
      <c r="K38" s="97">
        <f>(1/J38-1.0256)*100</f>
        <v>-16.486419545071605</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21.074815595363539</v>
      </c>
      <c r="J39" s="97">
        <f>I39/H39</f>
        <v>1.0913359399029028</v>
      </c>
      <c r="K39" s="97">
        <f>(1/J39-1.0256)*100</f>
        <v>-10.929186477174857</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21.074815595363539</v>
      </c>
      <c r="J40" s="97">
        <f>I40/H40</f>
        <v>1.0449826999349547</v>
      </c>
      <c r="K40" s="97">
        <f>(1/J40-1.0256)*100</f>
        <v>-6.8646358506944445</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21.074815595363539</v>
      </c>
      <c r="J41" s="97">
        <f>I41/H41</f>
        <v>1.0167055389729776</v>
      </c>
      <c r="K41" s="97">
        <f>(1/J41-1.0256)*100</f>
        <v>-4.2031049436253358</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21.074815595363539</v>
      </c>
      <c r="J42" s="97">
        <f>I42/H42</f>
        <v>1.0237677086992154</v>
      </c>
      <c r="K42" s="97">
        <f>(1/J42-1.0256)*100</f>
        <v>-4.8815919487648625</v>
      </c>
      <c r="L42" s="97"/>
      <c r="M42" s="97"/>
      <c r="N42" s="97">
        <f>H42/H41</f>
        <v>0.99310178503753443</v>
      </c>
      <c r="R42" t="s">
        <v>25</v>
      </c>
    </row>
    <row r="43" spans="1:20">
      <c r="A43" s="94"/>
      <c r="N43" s="94"/>
    </row>
    <row r="44" spans="1:20">
      <c r="A44" s="94"/>
      <c r="N44" s="94"/>
    </row>
    <row r="45" spans="1:20">
      <c r="A45" s="94"/>
    </row>
    <row r="46" spans="1:20">
      <c r="A46" s="97"/>
      <c r="B46" s="97"/>
      <c r="C46" s="97"/>
      <c r="D46" s="97"/>
      <c r="G46" t="s">
        <v>6553</v>
      </c>
    </row>
    <row r="47" spans="1:20">
      <c r="A47" s="97" t="s">
        <v>5885</v>
      </c>
      <c r="B47" s="97">
        <v>620</v>
      </c>
      <c r="C47" s="97">
        <v>199000</v>
      </c>
      <c r="D47" s="93">
        <f>C47*B47</f>
        <v>123380000</v>
      </c>
      <c r="G47">
        <v>59760</v>
      </c>
      <c r="H47">
        <v>932</v>
      </c>
    </row>
    <row r="48" spans="1:20">
      <c r="A48" s="97" t="s">
        <v>6501</v>
      </c>
      <c r="B48" s="97">
        <v>720</v>
      </c>
      <c r="C48" s="97">
        <v>8000</v>
      </c>
      <c r="D48" s="93">
        <f>C48*B48</f>
        <v>5760000</v>
      </c>
      <c r="J48" t="s">
        <v>25</v>
      </c>
    </row>
    <row r="49" spans="1:19">
      <c r="A49" s="97" t="s">
        <v>5876</v>
      </c>
      <c r="B49" s="97">
        <v>820</v>
      </c>
      <c r="C49" s="97">
        <v>0</v>
      </c>
      <c r="D49" s="93">
        <f>C49*B49</f>
        <v>0</v>
      </c>
    </row>
    <row r="50" spans="1:19">
      <c r="A50" s="97"/>
      <c r="B50" s="97"/>
      <c r="C50" s="97"/>
      <c r="D50" s="93"/>
      <c r="G50" t="s">
        <v>6554</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6518</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922</v>
      </c>
      <c r="H4" s="115">
        <f>C4*G4</f>
        <v>271990000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297397261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922</v>
      </c>
      <c r="H19" s="115">
        <f>C19*G19</f>
        <v>11926992</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282925620</v>
      </c>
    </row>
    <row r="26" spans="1:8">
      <c r="D26" t="s">
        <v>5405</v>
      </c>
      <c r="E26" s="112">
        <f>'خرید خانه'!H10+'خرید خانه'!H23-'خرید خانه'!D10-'خرید خانه'!D23</f>
        <v>278622881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2021-05-25T11:31:54Z</dcterms:modified>
</cp:coreProperties>
</file>