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 activeTab="4"/>
  </bookViews>
  <sheets>
    <sheet name="EB-VT" sheetId="1" r:id="rId1"/>
    <sheet name="cerpadla" sheetId="3" r:id="rId2"/>
    <sheet name="NRTL-binary" sheetId="2" r:id="rId3"/>
    <sheet name="Ekonomika" sheetId="4" r:id="rId4"/>
    <sheet name="Ceny" sheetId="5" r:id="rId5"/>
  </sheets>
  <definedNames>
    <definedName name="solver_adj" localSheetId="2" hidden="1">'NRTL-binary'!$F$6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'NRTL-binary'!$W$6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</definedName>
    <definedName name="solver_ver" localSheetId="2" hidden="1">3</definedName>
  </definedNames>
  <calcPr calcId="145621"/>
</workbook>
</file>

<file path=xl/calcChain.xml><?xml version="1.0" encoding="utf-8"?>
<calcChain xmlns="http://schemas.openxmlformats.org/spreadsheetml/2006/main">
  <c r="R19" i="1" l="1"/>
  <c r="W7" i="1"/>
  <c r="W6" i="1"/>
  <c r="C17" i="5" l="1"/>
  <c r="C16" i="5"/>
  <c r="R6" i="4"/>
  <c r="O6" i="4"/>
  <c r="O5" i="4"/>
  <c r="L8" i="4"/>
  <c r="L7" i="4"/>
  <c r="L6" i="4"/>
  <c r="L5" i="4"/>
  <c r="M47" i="4"/>
  <c r="M46" i="4"/>
  <c r="M44" i="4"/>
  <c r="M43" i="4"/>
  <c r="N43" i="4" s="1"/>
  <c r="C4" i="5" s="1"/>
  <c r="M42" i="4"/>
  <c r="I16" i="5"/>
  <c r="I14" i="5"/>
  <c r="H14" i="5"/>
  <c r="H11" i="5"/>
  <c r="G10" i="5"/>
  <c r="F10" i="5"/>
  <c r="G7" i="5"/>
  <c r="G4" i="5"/>
  <c r="L2" i="5"/>
  <c r="F7" i="5"/>
  <c r="F4" i="5"/>
  <c r="N44" i="4"/>
  <c r="C5" i="5" s="1"/>
  <c r="N45" i="4"/>
  <c r="N46" i="4"/>
  <c r="N47" i="4"/>
  <c r="N42" i="4"/>
  <c r="C3" i="5" s="1"/>
  <c r="C6" i="5"/>
  <c r="C7" i="5"/>
  <c r="C8" i="5"/>
  <c r="C10" i="5"/>
  <c r="C11" i="5"/>
  <c r="C12" i="5"/>
  <c r="C13" i="5"/>
  <c r="C14" i="5"/>
  <c r="C15" i="5"/>
  <c r="C9" i="5"/>
  <c r="T45" i="4"/>
  <c r="T39" i="4"/>
  <c r="T40" i="4"/>
  <c r="T41" i="4"/>
  <c r="T42" i="4"/>
  <c r="T43" i="4"/>
  <c r="T44" i="4"/>
  <c r="T38" i="4"/>
  <c r="T20" i="4"/>
  <c r="T14" i="4"/>
  <c r="J38" i="4"/>
  <c r="J32" i="4"/>
  <c r="J26" i="4"/>
  <c r="J20" i="4"/>
  <c r="J14" i="4"/>
  <c r="K43" i="4"/>
  <c r="K44" i="4"/>
  <c r="K45" i="4"/>
  <c r="K46" i="4"/>
  <c r="K47" i="4"/>
  <c r="K42" i="4"/>
  <c r="M45" i="4"/>
  <c r="L43" i="4"/>
  <c r="L44" i="4"/>
  <c r="L45" i="4"/>
  <c r="L46" i="4"/>
  <c r="L47" i="4"/>
  <c r="L42" i="4"/>
  <c r="J43" i="4"/>
  <c r="J44" i="4"/>
  <c r="J45" i="4"/>
  <c r="J46" i="4"/>
  <c r="J47" i="4"/>
  <c r="J42" i="4"/>
  <c r="G44" i="4"/>
  <c r="G45" i="4"/>
  <c r="G46" i="4"/>
  <c r="G47" i="4"/>
  <c r="G42" i="4"/>
  <c r="G43" i="4"/>
  <c r="I43" i="4"/>
  <c r="I44" i="4"/>
  <c r="I45" i="4"/>
  <c r="I46" i="4"/>
  <c r="I47" i="4"/>
  <c r="I42" i="4"/>
  <c r="B42" i="4"/>
  <c r="R16" i="1"/>
  <c r="C38" i="4" l="1"/>
  <c r="C32" i="4"/>
  <c r="C26" i="4"/>
  <c r="C14" i="4"/>
  <c r="M32" i="4" l="1"/>
  <c r="N32" i="4" s="1"/>
  <c r="O32" i="4" s="1"/>
  <c r="M30" i="4"/>
  <c r="N30" i="4" s="1"/>
  <c r="O30" i="4" s="1"/>
  <c r="M28" i="4"/>
  <c r="N28" i="4" s="1"/>
  <c r="O28" i="4" s="1"/>
  <c r="M26" i="4"/>
  <c r="F43" i="4" l="1"/>
  <c r="F44" i="4"/>
  <c r="F45" i="4"/>
  <c r="F46" i="4"/>
  <c r="F47" i="4"/>
  <c r="F42" i="4"/>
  <c r="C43" i="4"/>
  <c r="C44" i="4"/>
  <c r="C45" i="4"/>
  <c r="C46" i="4"/>
  <c r="C47" i="4"/>
  <c r="B43" i="4" l="1"/>
  <c r="B44" i="4"/>
  <c r="B45" i="4"/>
  <c r="B46" i="4"/>
  <c r="B47" i="4"/>
  <c r="U31" i="4"/>
  <c r="T30" i="4"/>
  <c r="U30" i="4" s="1"/>
  <c r="T28" i="4"/>
  <c r="U28" i="4" s="1"/>
  <c r="T26" i="4"/>
  <c r="U26" i="4"/>
  <c r="R30" i="4"/>
  <c r="R28" i="4"/>
  <c r="R26" i="4"/>
  <c r="L32" i="4"/>
  <c r="L30" i="4"/>
  <c r="L28" i="4"/>
  <c r="P20" i="4"/>
  <c r="S12" i="1"/>
  <c r="R42" i="1"/>
  <c r="S42" i="1" s="1"/>
  <c r="Q43" i="1"/>
  <c r="R43" i="1" s="1"/>
  <c r="S43" i="1" s="1"/>
  <c r="N43" i="1"/>
  <c r="O43" i="1"/>
  <c r="N44" i="1"/>
  <c r="M43" i="1"/>
  <c r="M42" i="1"/>
  <c r="L42" i="1"/>
  <c r="K42" i="1"/>
  <c r="I42" i="1"/>
  <c r="I43" i="1"/>
  <c r="K43" i="1" s="1"/>
  <c r="L43" i="1"/>
  <c r="D43" i="1"/>
  <c r="D42" i="1"/>
  <c r="Q20" i="4" l="1"/>
  <c r="Q14" i="4"/>
  <c r="P14" i="4"/>
  <c r="E38" i="4"/>
  <c r="D38" i="4"/>
  <c r="E32" i="4"/>
  <c r="D32" i="4"/>
  <c r="E26" i="4"/>
  <c r="D26" i="4"/>
  <c r="H38" i="4"/>
  <c r="H20" i="4"/>
  <c r="R20" i="4" l="1"/>
  <c r="R14" i="4"/>
  <c r="H32" i="4"/>
  <c r="H26" i="4"/>
  <c r="R12" i="3"/>
  <c r="R13" i="3"/>
  <c r="R14" i="3"/>
  <c r="R15" i="3"/>
  <c r="R16" i="3"/>
  <c r="I21" i="3"/>
  <c r="I22" i="3"/>
  <c r="I23" i="3"/>
  <c r="J23" i="3" s="1"/>
  <c r="I24" i="3"/>
  <c r="I25" i="3"/>
  <c r="E21" i="3"/>
  <c r="F21" i="3"/>
  <c r="E22" i="3"/>
  <c r="F22" i="3"/>
  <c r="E23" i="3"/>
  <c r="F23" i="3"/>
  <c r="E24" i="3"/>
  <c r="F24" i="3"/>
  <c r="E25" i="3"/>
  <c r="F25" i="3"/>
  <c r="F20" i="3"/>
  <c r="E20" i="3"/>
  <c r="D21" i="3"/>
  <c r="D22" i="3"/>
  <c r="D23" i="3"/>
  <c r="D24" i="3"/>
  <c r="D25" i="3"/>
  <c r="C21" i="3"/>
  <c r="C22" i="3"/>
  <c r="C23" i="3"/>
  <c r="C24" i="3"/>
  <c r="C25" i="3"/>
  <c r="O11" i="3"/>
  <c r="O35" i="3"/>
  <c r="O36" i="3"/>
  <c r="N15" i="3" s="1"/>
  <c r="O37" i="3"/>
  <c r="O38" i="3"/>
  <c r="O39" i="3"/>
  <c r="N12" i="3" s="1"/>
  <c r="O40" i="3"/>
  <c r="N16" i="3" s="1"/>
  <c r="O41" i="3"/>
  <c r="N14" i="3" s="1"/>
  <c r="O42" i="3"/>
  <c r="O34" i="3"/>
  <c r="D35" i="3"/>
  <c r="H36" i="3"/>
  <c r="D37" i="3"/>
  <c r="P12" i="3" s="1"/>
  <c r="D38" i="3"/>
  <c r="D39" i="3"/>
  <c r="P16" i="3" s="1"/>
  <c r="D40" i="3"/>
  <c r="D41" i="3"/>
  <c r="D42" i="3"/>
  <c r="D43" i="3"/>
  <c r="D44" i="3"/>
  <c r="D45" i="3"/>
  <c r="D46" i="3"/>
  <c r="D47" i="3"/>
  <c r="D48" i="3"/>
  <c r="D36" i="3"/>
  <c r="O15" i="3"/>
  <c r="O13" i="3"/>
  <c r="O12" i="3"/>
  <c r="O14" i="3"/>
  <c r="O16" i="3"/>
  <c r="M12" i="3"/>
  <c r="M13" i="3"/>
  <c r="M14" i="3"/>
  <c r="M15" i="3"/>
  <c r="M16" i="3"/>
  <c r="M11" i="3"/>
  <c r="F12" i="3"/>
  <c r="H12" i="3" s="1"/>
  <c r="F13" i="3"/>
  <c r="H13" i="3" s="1"/>
  <c r="F14" i="3"/>
  <c r="I14" i="3" s="1"/>
  <c r="F15" i="3"/>
  <c r="I15" i="3" s="1"/>
  <c r="F16" i="3"/>
  <c r="I16" i="3" s="1"/>
  <c r="F11" i="3"/>
  <c r="J11" i="3" s="1"/>
  <c r="D45" i="4" l="1"/>
  <c r="L23" i="3"/>
  <c r="E45" i="4" s="1"/>
  <c r="Q12" i="3"/>
  <c r="P11" i="3"/>
  <c r="P14" i="3"/>
  <c r="N11" i="3"/>
  <c r="N13" i="3"/>
  <c r="Q13" i="3" s="1"/>
  <c r="G16" i="3"/>
  <c r="G14" i="3"/>
  <c r="G12" i="3"/>
  <c r="S12" i="3" s="1"/>
  <c r="B21" i="3" s="1"/>
  <c r="J21" i="3" s="1"/>
  <c r="I11" i="3"/>
  <c r="J16" i="3"/>
  <c r="H16" i="3"/>
  <c r="J15" i="3"/>
  <c r="H15" i="3"/>
  <c r="J14" i="3"/>
  <c r="H14" i="3"/>
  <c r="I13" i="3"/>
  <c r="I12" i="3"/>
  <c r="G11" i="3"/>
  <c r="G15" i="3"/>
  <c r="G13" i="3"/>
  <c r="H11" i="3"/>
  <c r="J13" i="3"/>
  <c r="J12" i="3"/>
  <c r="D43" i="4" l="1"/>
  <c r="L21" i="3"/>
  <c r="E43" i="4" s="1"/>
  <c r="C20" i="3"/>
  <c r="S13" i="3"/>
  <c r="B22" i="3" s="1"/>
  <c r="J22" i="3" s="1"/>
  <c r="K11" i="3"/>
  <c r="Q11" i="3"/>
  <c r="Q14" i="3"/>
  <c r="S14" i="3" s="1"/>
  <c r="B23" i="3" s="1"/>
  <c r="Q15" i="3"/>
  <c r="S15" i="3" s="1"/>
  <c r="B24" i="3" s="1"/>
  <c r="J24" i="3" s="1"/>
  <c r="Q16" i="3"/>
  <c r="S16" i="3" s="1"/>
  <c r="B25" i="3" s="1"/>
  <c r="J25" i="3" s="1"/>
  <c r="K12" i="3"/>
  <c r="K14" i="3"/>
  <c r="K15" i="3"/>
  <c r="K16" i="3"/>
  <c r="K13" i="3"/>
  <c r="D47" i="4" l="1"/>
  <c r="L25" i="3"/>
  <c r="E47" i="4" s="1"/>
  <c r="D46" i="4"/>
  <c r="L24" i="3"/>
  <c r="E46" i="4" s="1"/>
  <c r="D44" i="4"/>
  <c r="L22" i="3"/>
  <c r="E44" i="4" s="1"/>
  <c r="D20" i="3"/>
  <c r="I20" i="3" s="1"/>
  <c r="R11" i="3"/>
  <c r="S11" i="3" s="1"/>
  <c r="B20" i="3" s="1"/>
  <c r="I40" i="1"/>
  <c r="L40" i="1" s="1"/>
  <c r="I46" i="1"/>
  <c r="K46" i="1" s="1"/>
  <c r="I27" i="1"/>
  <c r="K27" i="1" s="1"/>
  <c r="I32" i="1"/>
  <c r="K32" i="1" s="1"/>
  <c r="I36" i="1"/>
  <c r="K36" i="1" s="1"/>
  <c r="I25" i="1"/>
  <c r="K25" i="1" s="1"/>
  <c r="D40" i="1"/>
  <c r="D41" i="1"/>
  <c r="I41" i="1" s="1"/>
  <c r="D44" i="1"/>
  <c r="D45" i="1"/>
  <c r="I45" i="1" s="1"/>
  <c r="D46" i="1"/>
  <c r="D47" i="1"/>
  <c r="I47" i="1" s="1"/>
  <c r="D48" i="1"/>
  <c r="I48" i="1" s="1"/>
  <c r="L48" i="1" s="1"/>
  <c r="D26" i="1"/>
  <c r="I26" i="1" s="1"/>
  <c r="D27" i="1"/>
  <c r="D28" i="1"/>
  <c r="I28" i="1" s="1"/>
  <c r="D29" i="1"/>
  <c r="I29" i="1" s="1"/>
  <c r="L29" i="1" s="1"/>
  <c r="D30" i="1"/>
  <c r="I30" i="1" s="1"/>
  <c r="D32" i="1"/>
  <c r="N32" i="1" s="1"/>
  <c r="D33" i="1"/>
  <c r="I33" i="1" s="1"/>
  <c r="D34" i="1"/>
  <c r="D35" i="1"/>
  <c r="I35" i="1" s="1"/>
  <c r="D36" i="1"/>
  <c r="N36" i="1" s="1"/>
  <c r="D37" i="1"/>
  <c r="I37" i="1" s="1"/>
  <c r="D38" i="1"/>
  <c r="I38" i="1" s="1"/>
  <c r="L38" i="1" s="1"/>
  <c r="D39" i="1"/>
  <c r="I39" i="1" s="1"/>
  <c r="D25" i="1"/>
  <c r="J20" i="3" l="1"/>
  <c r="C42" i="4"/>
  <c r="I34" i="1"/>
  <c r="L34" i="1" s="1"/>
  <c r="I44" i="1"/>
  <c r="L44" i="1" s="1"/>
  <c r="K39" i="1"/>
  <c r="L39" i="1"/>
  <c r="L37" i="1"/>
  <c r="K37" i="1"/>
  <c r="K35" i="1"/>
  <c r="L35" i="1"/>
  <c r="L33" i="1"/>
  <c r="K33" i="1"/>
  <c r="L30" i="1"/>
  <c r="K30" i="1"/>
  <c r="K28" i="1"/>
  <c r="L28" i="1"/>
  <c r="K26" i="1"/>
  <c r="L26" i="1"/>
  <c r="L47" i="1"/>
  <c r="K47" i="1"/>
  <c r="K45" i="1"/>
  <c r="L45" i="1"/>
  <c r="K41" i="1"/>
  <c r="L41" i="1"/>
  <c r="K38" i="1"/>
  <c r="M38" i="1" s="1"/>
  <c r="R38" i="1" s="1"/>
  <c r="S38" i="1" s="1"/>
  <c r="L36" i="1"/>
  <c r="M36" i="1" s="1"/>
  <c r="L32" i="1"/>
  <c r="M32" i="1" s="1"/>
  <c r="K29" i="1"/>
  <c r="M29" i="1" s="1"/>
  <c r="R29" i="1" s="1"/>
  <c r="S29" i="1" s="1"/>
  <c r="L27" i="1"/>
  <c r="M27" i="1" s="1"/>
  <c r="R27" i="1" s="1"/>
  <c r="S27" i="1" s="1"/>
  <c r="K48" i="1"/>
  <c r="M48" i="1" s="1"/>
  <c r="R48" i="1" s="1"/>
  <c r="S48" i="1" s="1"/>
  <c r="L46" i="1"/>
  <c r="M46" i="1" s="1"/>
  <c r="R46" i="1" s="1"/>
  <c r="S46" i="1" s="1"/>
  <c r="K44" i="1"/>
  <c r="M44" i="1" s="1"/>
  <c r="K40" i="1"/>
  <c r="M40" i="1" s="1"/>
  <c r="R40" i="1" s="1"/>
  <c r="S40" i="1" s="1"/>
  <c r="O32" i="1"/>
  <c r="Q32" i="1" s="1"/>
  <c r="O36" i="1"/>
  <c r="Q36" i="1" s="1"/>
  <c r="O44" i="1"/>
  <c r="Q44" i="1" s="1"/>
  <c r="D42" i="4" l="1"/>
  <c r="L20" i="3"/>
  <c r="E42" i="4" s="1"/>
  <c r="R36" i="1"/>
  <c r="S36" i="1" s="1"/>
  <c r="R32" i="1"/>
  <c r="S32" i="1" s="1"/>
  <c r="K34" i="1"/>
  <c r="M34" i="1" s="1"/>
  <c r="S16" i="1" s="1"/>
  <c r="F14" i="4" s="1"/>
  <c r="H14" i="4" s="1"/>
  <c r="M45" i="1"/>
  <c r="R45" i="1" s="1"/>
  <c r="S45" i="1" s="1"/>
  <c r="M30" i="1"/>
  <c r="R30" i="1" s="1"/>
  <c r="S30" i="1" s="1"/>
  <c r="M35" i="1"/>
  <c r="R35" i="1" s="1"/>
  <c r="S35" i="1" s="1"/>
  <c r="M39" i="1"/>
  <c r="R39" i="1" s="1"/>
  <c r="S39" i="1" s="1"/>
  <c r="S8" i="1"/>
  <c r="T8" i="1" s="1"/>
  <c r="U8" i="1" s="1"/>
  <c r="B3" i="4" s="1"/>
  <c r="B20" i="4" s="1"/>
  <c r="I20" i="4" s="1"/>
  <c r="R44" i="1"/>
  <c r="S44" i="1" s="1"/>
  <c r="M41" i="1"/>
  <c r="R41" i="1" s="1"/>
  <c r="S41" i="1" s="1"/>
  <c r="M47" i="1"/>
  <c r="R47" i="1" s="1"/>
  <c r="S47" i="1" s="1"/>
  <c r="M26" i="1"/>
  <c r="R26" i="1" s="1"/>
  <c r="S26" i="1" s="1"/>
  <c r="S7" i="1" s="1"/>
  <c r="M28" i="1"/>
  <c r="R28" i="1" s="1"/>
  <c r="S28" i="1" s="1"/>
  <c r="M33" i="1"/>
  <c r="R33" i="1" s="1"/>
  <c r="S33" i="1" s="1"/>
  <c r="S9" i="1" s="1"/>
  <c r="T9" i="1" s="1"/>
  <c r="U9" i="1" s="1"/>
  <c r="B4" i="4" s="1"/>
  <c r="B26" i="4" s="1"/>
  <c r="I26" i="4" s="1"/>
  <c r="M37" i="1"/>
  <c r="L25" i="1"/>
  <c r="M25" i="1" s="1"/>
  <c r="R25" i="1" s="1"/>
  <c r="S25" i="1" s="1"/>
  <c r="R6" i="2"/>
  <c r="Q6" i="2"/>
  <c r="H6" i="2"/>
  <c r="G6" i="2"/>
  <c r="S10" i="1" l="1"/>
  <c r="T10" i="1" s="1"/>
  <c r="U10" i="1" s="1"/>
  <c r="B5" i="4" s="1"/>
  <c r="L14" i="4" s="1"/>
  <c r="S14" i="4" s="1"/>
  <c r="R37" i="1"/>
  <c r="S37" i="1" s="1"/>
  <c r="S11" i="1" s="1"/>
  <c r="T11" i="1" s="1"/>
  <c r="U11" i="1" s="1"/>
  <c r="B6" i="4" s="1"/>
  <c r="B32" i="4" s="1"/>
  <c r="I32" i="4" s="1"/>
  <c r="S13" i="1"/>
  <c r="T13" i="1" s="1"/>
  <c r="U13" i="1" s="1"/>
  <c r="B8" i="4" s="1"/>
  <c r="B38" i="4" s="1"/>
  <c r="I38" i="4" s="1"/>
  <c r="T12" i="1"/>
  <c r="U12" i="1" s="1"/>
  <c r="B7" i="4" s="1"/>
  <c r="L20" i="4" s="1"/>
  <c r="S20" i="4" s="1"/>
  <c r="I6" i="2"/>
  <c r="J6" i="2"/>
  <c r="N6" i="2" l="1"/>
  <c r="P6" i="2" s="1"/>
  <c r="T6" i="2" s="1"/>
  <c r="V6" i="2" s="1"/>
  <c r="M6" i="2"/>
  <c r="O6" i="2" s="1"/>
  <c r="S6" i="2" s="1"/>
  <c r="X6" i="2" l="1"/>
  <c r="U6" i="2"/>
  <c r="W6" i="2" s="1"/>
  <c r="E6" i="2" l="1"/>
  <c r="R34" i="1" l="1"/>
  <c r="S34" i="1" s="1"/>
  <c r="T7" i="1" s="1"/>
  <c r="U7" i="1" s="1"/>
  <c r="B2" i="4" s="1"/>
  <c r="B14" i="4" l="1"/>
  <c r="I14" i="4" s="1"/>
  <c r="L26" i="4"/>
  <c r="N26" i="4" l="1"/>
  <c r="O26" i="4" s="1"/>
  <c r="O33" i="4" s="1"/>
</calcChain>
</file>

<file path=xl/sharedStrings.xml><?xml version="1.0" encoding="utf-8"?>
<sst xmlns="http://schemas.openxmlformats.org/spreadsheetml/2006/main" count="474" uniqueCount="245">
  <si>
    <t>n[kmol/h]</t>
  </si>
  <si>
    <t>Stav</t>
  </si>
  <si>
    <t>Prud</t>
  </si>
  <si>
    <t>xi</t>
  </si>
  <si>
    <t>A</t>
  </si>
  <si>
    <t>B</t>
  </si>
  <si>
    <t>C</t>
  </si>
  <si>
    <t>Tstred [K]</t>
  </si>
  <si>
    <t>Teplota [K]</t>
  </si>
  <si>
    <t>h [kJ/kmol]</t>
  </si>
  <si>
    <t>H [kJ.h^-1]</t>
  </si>
  <si>
    <t>L</t>
  </si>
  <si>
    <t>G</t>
  </si>
  <si>
    <r>
      <t>c</t>
    </r>
    <r>
      <rPr>
        <b/>
        <vertAlign val="subscript"/>
        <sz val="11"/>
        <color theme="1"/>
        <rFont val="Times New Roman"/>
        <family val="1"/>
      </rPr>
      <t>p</t>
    </r>
    <r>
      <rPr>
        <b/>
        <sz val="11"/>
        <color theme="1"/>
        <rFont val="Times New Roman"/>
        <family val="1"/>
      </rPr>
      <t>(L) [kJ/kmol/K]</t>
    </r>
  </si>
  <si>
    <r>
      <t>∆</t>
    </r>
    <r>
      <rPr>
        <b/>
        <vertAlign val="subscript"/>
        <sz val="11"/>
        <color theme="1"/>
        <rFont val="Times New Roman"/>
        <family val="1"/>
      </rPr>
      <t>vyp</t>
    </r>
    <r>
      <rPr>
        <b/>
        <sz val="11"/>
        <color theme="1"/>
        <rFont val="Times New Roman"/>
        <family val="1"/>
      </rPr>
      <t>H [kJ/kmol]</t>
    </r>
  </si>
  <si>
    <r>
      <t>c</t>
    </r>
    <r>
      <rPr>
        <b/>
        <vertAlign val="subscript"/>
        <sz val="11"/>
        <color theme="1"/>
        <rFont val="Times New Roman"/>
        <family val="1"/>
      </rPr>
      <t>p</t>
    </r>
    <r>
      <rPr>
        <b/>
        <sz val="11"/>
        <color theme="1"/>
        <rFont val="Times New Roman"/>
        <family val="1"/>
      </rPr>
      <t>(L) zmes</t>
    </r>
  </si>
  <si>
    <r>
      <t>∆</t>
    </r>
    <r>
      <rPr>
        <b/>
        <vertAlign val="subscript"/>
        <sz val="11"/>
        <color theme="1"/>
        <rFont val="Times New Roman"/>
        <family val="1"/>
      </rPr>
      <t>vyp</t>
    </r>
    <r>
      <rPr>
        <b/>
        <sz val="11"/>
        <color theme="1"/>
        <rFont val="Times New Roman"/>
        <family val="1"/>
      </rPr>
      <t>H zmes</t>
    </r>
  </si>
  <si>
    <t>MTBE</t>
  </si>
  <si>
    <t>Metanol</t>
  </si>
  <si>
    <t>[BMIM][HSO4]</t>
  </si>
  <si>
    <t xml:space="preserve">MeOH </t>
  </si>
  <si>
    <t>cp[kJ/kmol/K]</t>
  </si>
  <si>
    <t>a</t>
  </si>
  <si>
    <t>b</t>
  </si>
  <si>
    <t>c</t>
  </si>
  <si>
    <t>d</t>
  </si>
  <si>
    <t>cp [kJ/kmol/K]</t>
  </si>
  <si>
    <t>A [kJ/mol]</t>
  </si>
  <si>
    <t>alpha</t>
  </si>
  <si>
    <t>beta</t>
  </si>
  <si>
    <t>Tc [K]</t>
  </si>
  <si>
    <t>Referencny stav</t>
  </si>
  <si>
    <t>K</t>
  </si>
  <si>
    <t>2,3</t>
  </si>
  <si>
    <t>https://pubs.acs.org/doi/epdf/10.1021/je950323o?ref=article_openPDF</t>
  </si>
  <si>
    <t>MTBE (1)</t>
  </si>
  <si>
    <t>Metanol (2)</t>
  </si>
  <si>
    <t>dg12</t>
  </si>
  <si>
    <t>J/mol</t>
  </si>
  <si>
    <t>dg21</t>
  </si>
  <si>
    <t>t</t>
  </si>
  <si>
    <t>T [K]</t>
  </si>
  <si>
    <t>R</t>
  </si>
  <si>
    <t>J/mol/K</t>
  </si>
  <si>
    <r>
      <t>τ</t>
    </r>
    <r>
      <rPr>
        <b/>
        <vertAlign val="subscript"/>
        <sz val="11"/>
        <color rgb="FF000000"/>
        <rFont val="Calibri"/>
        <family val="2"/>
      </rPr>
      <t>12</t>
    </r>
  </si>
  <si>
    <r>
      <t>τ</t>
    </r>
    <r>
      <rPr>
        <b/>
        <vertAlign val="subscript"/>
        <sz val="11"/>
        <color rgb="FF000000"/>
        <rFont val="Calibri"/>
        <family val="2"/>
      </rPr>
      <t>21</t>
    </r>
  </si>
  <si>
    <r>
      <t>G</t>
    </r>
    <r>
      <rPr>
        <b/>
        <vertAlign val="subscript"/>
        <sz val="11"/>
        <color rgb="FF000000"/>
        <rFont val="Calibri"/>
        <family val="2"/>
      </rPr>
      <t>12</t>
    </r>
  </si>
  <si>
    <r>
      <t>G</t>
    </r>
    <r>
      <rPr>
        <b/>
        <vertAlign val="subscript"/>
        <sz val="11"/>
        <color rgb="FF000000"/>
        <rFont val="Calibri"/>
        <family val="2"/>
      </rPr>
      <t>21</t>
    </r>
  </si>
  <si>
    <r>
      <t>x</t>
    </r>
    <r>
      <rPr>
        <b/>
        <vertAlign val="subscript"/>
        <sz val="11"/>
        <color rgb="FF000000"/>
        <rFont val="Calibri"/>
        <family val="2"/>
      </rPr>
      <t>1</t>
    </r>
  </si>
  <si>
    <r>
      <t>x</t>
    </r>
    <r>
      <rPr>
        <b/>
        <vertAlign val="subscript"/>
        <sz val="11"/>
        <color rgb="FF000000"/>
        <rFont val="Calibri"/>
        <family val="2"/>
      </rPr>
      <t>2</t>
    </r>
  </si>
  <si>
    <t>lnγA</t>
  </si>
  <si>
    <t>lnγB</t>
  </si>
  <si>
    <t>γA</t>
  </si>
  <si>
    <t>γB</t>
  </si>
  <si>
    <t>PA0</t>
  </si>
  <si>
    <t>PB0</t>
  </si>
  <si>
    <t>yA</t>
  </si>
  <si>
    <t>yB</t>
  </si>
  <si>
    <t>PA</t>
  </si>
  <si>
    <t>PB</t>
  </si>
  <si>
    <t>SUMy</t>
  </si>
  <si>
    <t>sumP</t>
  </si>
  <si>
    <t>p</t>
  </si>
  <si>
    <t>kPa</t>
  </si>
  <si>
    <t>Antoine equation parameters (P = Pa)</t>
  </si>
  <si>
    <t>rho zmes</t>
  </si>
  <si>
    <t>m[ kg/h]</t>
  </si>
  <si>
    <t>V [m3/h]</t>
  </si>
  <si>
    <t>M[kg/kmol]</t>
  </si>
  <si>
    <t>Teplota [C]</t>
  </si>
  <si>
    <t>VT</t>
  </si>
  <si>
    <t>Q [kJ.h^-1]</t>
  </si>
  <si>
    <t>Q [MJ.h^-1]</t>
  </si>
  <si>
    <t>Q [kW]</t>
  </si>
  <si>
    <t>H-1</t>
  </si>
  <si>
    <t>H-2</t>
  </si>
  <si>
    <t>K-1</t>
  </si>
  <si>
    <t>D-1</t>
  </si>
  <si>
    <t>K-2</t>
  </si>
  <si>
    <t>D-2</t>
  </si>
  <si>
    <t>K-3</t>
  </si>
  <si>
    <t>ng</t>
  </si>
  <si>
    <t>Q1</t>
  </si>
  <si>
    <t>Q2</t>
  </si>
  <si>
    <t>Q3</t>
  </si>
  <si>
    <t>Q4</t>
  </si>
  <si>
    <t>Q5</t>
  </si>
  <si>
    <t>Q6</t>
  </si>
  <si>
    <t>Q7</t>
  </si>
  <si>
    <t>Cerpadla</t>
  </si>
  <si>
    <t>Tlak [kPa]</t>
  </si>
  <si>
    <t>Prudy</t>
  </si>
  <si>
    <t>z</t>
  </si>
  <si>
    <t>do</t>
  </si>
  <si>
    <t>P-1</t>
  </si>
  <si>
    <t>2,18</t>
  </si>
  <si>
    <t>P-2</t>
  </si>
  <si>
    <t>10,11</t>
  </si>
  <si>
    <t>P-3</t>
  </si>
  <si>
    <t>14,15</t>
  </si>
  <si>
    <t>P-4</t>
  </si>
  <si>
    <t>16,17</t>
  </si>
  <si>
    <t>P-5</t>
  </si>
  <si>
    <t>21,22</t>
  </si>
  <si>
    <t>P-6</t>
  </si>
  <si>
    <t>23,24</t>
  </si>
  <si>
    <t>Cerpadlo</t>
  </si>
  <si>
    <t>xA</t>
  </si>
  <si>
    <t>xB</t>
  </si>
  <si>
    <t>xC</t>
  </si>
  <si>
    <t>wA</t>
  </si>
  <si>
    <t>wB</t>
  </si>
  <si>
    <t>wC</t>
  </si>
  <si>
    <t>sumW</t>
  </si>
  <si>
    <t>V [m3/s]</t>
  </si>
  <si>
    <t>MEeOH</t>
  </si>
  <si>
    <t>rho [kg/m3]</t>
  </si>
  <si>
    <t>Tabulky CHI</t>
  </si>
  <si>
    <t>Temperature, K</t>
  </si>
  <si>
    <t>Pressure, kPa</t>
  </si>
  <si>
    <t>Specific density, kg/m3</t>
  </si>
  <si>
    <t>Liquid</t>
  </si>
  <si>
    <t>1275.9 ± 0.4</t>
  </si>
  <si>
    <t>1272.5 ± 0.4</t>
  </si>
  <si>
    <t>1269 ± 0.4</t>
  </si>
  <si>
    <t>1266.4 ± 0.4</t>
  </si>
  <si>
    <t>1263.4 ± 0.4</t>
  </si>
  <si>
    <t>1260.4 ± 0.4</t>
  </si>
  <si>
    <t>1257.4 ± 0.4</t>
  </si>
  <si>
    <t>1254.5 ± 0.4</t>
  </si>
  <si>
    <t>1251.5 ± 0.4</t>
  </si>
  <si>
    <t>1248.6 ± 0.4</t>
  </si>
  <si>
    <t>1245.7 ± 0.4</t>
  </si>
  <si>
    <t>1242.8 ± 0.4</t>
  </si>
  <si>
    <t>1240 ± 0.4</t>
  </si>
  <si>
    <t>Yoo, B.; Afzal, A.; Prausnitz, J. M. (2013) J. Chem. Thermodyn. 57, 178-181.</t>
  </si>
  <si>
    <t>IL-Thermo</t>
  </si>
  <si>
    <t>1277 ± 1</t>
  </si>
  <si>
    <t>Jain, P.; Kumar, A. (2017) J. Mol. Liq. 238, 270-280.</t>
  </si>
  <si>
    <t>rhoA [kg/m3]</t>
  </si>
  <si>
    <t>rhoB [kg/m3]</t>
  </si>
  <si>
    <t>rhoC [kg/m3]</t>
  </si>
  <si>
    <t>https://www.chemeo.com/cid/50-231-9/Propane-2-methoxy-2-methyl</t>
  </si>
  <si>
    <t>Mass density, kg/m3 - Liquid</t>
  </si>
  <si>
    <t>m[ kg/s]</t>
  </si>
  <si>
    <r>
      <rPr>
        <b/>
        <sz val="11"/>
        <color theme="1"/>
        <rFont val="Calibri"/>
        <family val="2"/>
      </rPr>
      <t>Δ</t>
    </r>
    <r>
      <rPr>
        <b/>
        <sz val="11"/>
        <color theme="1"/>
        <rFont val="Calibri"/>
        <family val="2"/>
        <scheme val="minor"/>
      </rPr>
      <t>z [m]</t>
    </r>
  </si>
  <si>
    <t xml:space="preserve">vyska </t>
  </si>
  <si>
    <t>η</t>
  </si>
  <si>
    <t>Pp</t>
  </si>
  <si>
    <t>Tlak [Pa]</t>
  </si>
  <si>
    <t>Pv [W]</t>
  </si>
  <si>
    <t>Ew [J/kg]</t>
  </si>
  <si>
    <t>rho zmes [kg/m3]</t>
  </si>
  <si>
    <t>Protiprúdny výmenník tepla</t>
  </si>
  <si>
    <t>Q [W]</t>
  </si>
  <si>
    <t>k [W/m2/K]</t>
  </si>
  <si>
    <t>tH1</t>
  </si>
  <si>
    <t>tH2</t>
  </si>
  <si>
    <t>tS1</t>
  </si>
  <si>
    <t>tS2</t>
  </si>
  <si>
    <t>dtls</t>
  </si>
  <si>
    <t>[W]</t>
  </si>
  <si>
    <t>Ohrevac-1</t>
  </si>
  <si>
    <t>Ohrevac-2</t>
  </si>
  <si>
    <t>Kondenzator-1</t>
  </si>
  <si>
    <t>Kondenzator-2</t>
  </si>
  <si>
    <t>Kondenzator-3</t>
  </si>
  <si>
    <t>Odparka-1</t>
  </si>
  <si>
    <t>Odparka-2</t>
  </si>
  <si>
    <t>A [m2]</t>
  </si>
  <si>
    <t>Spotreba ohrevnej pary</t>
  </si>
  <si>
    <t>dVapH [J/kg]</t>
  </si>
  <si>
    <t>mOP [kg/s]</t>
  </si>
  <si>
    <t>mOP [kg/h]</t>
  </si>
  <si>
    <t>Q1 [W]</t>
  </si>
  <si>
    <t>Q2 [W]</t>
  </si>
  <si>
    <t>Q4 [W]</t>
  </si>
  <si>
    <t>Q6 [W]</t>
  </si>
  <si>
    <t>SUMA</t>
  </si>
  <si>
    <t>kg/h</t>
  </si>
  <si>
    <t>kg/rok</t>
  </si>
  <si>
    <t>Spotreba chladiacej vody</t>
  </si>
  <si>
    <t>cpV [J//kg/K]</t>
  </si>
  <si>
    <t>mV [kg/s]</t>
  </si>
  <si>
    <t>mV [kg/h]</t>
  </si>
  <si>
    <t>Q3 [W]</t>
  </si>
  <si>
    <t>Q5 [W]</t>
  </si>
  <si>
    <t>Q7 [W]</t>
  </si>
  <si>
    <t>Pp [W]</t>
  </si>
  <si>
    <t>V [gal/min]</t>
  </si>
  <si>
    <t>head [ft]</t>
  </si>
  <si>
    <t>Zariadenie</t>
  </si>
  <si>
    <t>cenove indexy</t>
  </si>
  <si>
    <t>Edis [J/kg]</t>
  </si>
  <si>
    <t>V[m3/h]</t>
  </si>
  <si>
    <t>pa [psi]</t>
  </si>
  <si>
    <t>Type</t>
  </si>
  <si>
    <t>P2-P1 [kPa]</t>
  </si>
  <si>
    <t>odstredivé čerpadlo (centrifugal)</t>
  </si>
  <si>
    <t>Gear-lobe</t>
  </si>
  <si>
    <t>capacity factor</t>
  </si>
  <si>
    <t>https://www.matche.com/equipcost/Exchanger.html</t>
  </si>
  <si>
    <t>A [ft2]</t>
  </si>
  <si>
    <t>Ohrievac-2</t>
  </si>
  <si>
    <t>2024 jun</t>
  </si>
  <si>
    <t xml:space="preserve">Cena(2002) </t>
  </si>
  <si>
    <t xml:space="preserve">Cena </t>
  </si>
  <si>
    <t>Investicne naklady</t>
  </si>
  <si>
    <t>cena</t>
  </si>
  <si>
    <t>Cerpadlo-1</t>
  </si>
  <si>
    <t>Cerpadlo-2</t>
  </si>
  <si>
    <t>Cerpadlo-3</t>
  </si>
  <si>
    <t>Cerpadlo-4</t>
  </si>
  <si>
    <t>Cerpadlo-5</t>
  </si>
  <si>
    <t>Cerpadlo-6</t>
  </si>
  <si>
    <t xml:space="preserve">Cena(2025) </t>
  </si>
  <si>
    <t>Extrakcna kolona</t>
  </si>
  <si>
    <t>Prevadzkove naklady</t>
  </si>
  <si>
    <t>Spotreba IL</t>
  </si>
  <si>
    <t>mV [kg/rok]</t>
  </si>
  <si>
    <t>mOP [kg/rok]</t>
  </si>
  <si>
    <t>mIL [kg/h]</t>
  </si>
  <si>
    <t>nIL [kmol/h]</t>
  </si>
  <si>
    <t>dni</t>
  </si>
  <si>
    <t>h</t>
  </si>
  <si>
    <t>cena za kg</t>
  </si>
  <si>
    <t>kmol/h</t>
  </si>
  <si>
    <t>zisk</t>
  </si>
  <si>
    <t>extrakcna kolona</t>
  </si>
  <si>
    <t>material</t>
  </si>
  <si>
    <t>Hastelloy C</t>
  </si>
  <si>
    <t>vyska [m]</t>
  </si>
  <si>
    <t>prierez [m]</t>
  </si>
  <si>
    <t>PTK</t>
  </si>
  <si>
    <t>hrubka steny [m]</t>
  </si>
  <si>
    <t>hustota materialu [kg/m3]</t>
  </si>
  <si>
    <t>Hmota kolony [kg]</t>
  </si>
  <si>
    <t>Hlava a dole [kg]</t>
  </si>
  <si>
    <t>Tray-Hasteloy [kg]</t>
  </si>
  <si>
    <t>extra</t>
  </si>
  <si>
    <t>total weight [kg]</t>
  </si>
  <si>
    <t>[pounds</t>
  </si>
  <si>
    <t>cena(2014)</t>
  </si>
  <si>
    <t>cena(2025)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</si>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</sst>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_);_(* \(#,##0.000\);_(* &quot;-&quot;??_);_(@_)"/>
    <numFmt numFmtId="165" formatCode="_(* #,##0.0000_);_(* \(#,##0.0000\);_(* &quot;-&quot;??_);_(@_)"/>
    <numFmt numFmtId="166" formatCode="0.0000"/>
    <numFmt numFmtId="167" formatCode="0.000"/>
    <numFmt numFmtId="168" formatCode="0.0"/>
    <numFmt numFmtId="169" formatCode="_(* #,##0.00000_);_(* \(#,##0.00000\);_(* &quot;-&quot;??_);_(@_)"/>
    <numFmt numFmtId="170" formatCode="_(* #,##0.000000_);_(* \(#,##0.000000\);_(* &quot;-&quot;??_);_(@_)"/>
    <numFmt numFmtId="171" formatCode="_-* #,##0.00\ [$€-41B]_-;\-* #,##0.00\ [$€-41B]_-;_-* &quot;-&quot;??\ [$€-41B]_-;_-@_-"/>
    <numFmt numFmtId="172" formatCode="0.00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vertAlign val="subscript"/>
      <sz val="11"/>
      <color rgb="FF000000"/>
      <name val="Calibri"/>
      <family val="2"/>
    </font>
    <font>
      <b/>
      <sz val="11"/>
      <color theme="1"/>
      <name val="Calibri"/>
      <family val="2"/>
      <charset val="238"/>
    </font>
    <font>
      <sz val="10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64" fontId="0" fillId="0" borderId="0" xfId="0" applyNumberFormat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43" fontId="0" fillId="0" borderId="0" xfId="1" applyFon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43" fontId="0" fillId="0" borderId="0" xfId="0" applyNumberForma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11" xfId="2" applyFont="1" applyBorder="1" applyAlignment="1">
      <alignment horizontal="center"/>
    </xf>
    <xf numFmtId="0" fontId="7" fillId="0" borderId="12" xfId="2" applyFont="1" applyBorder="1" applyAlignment="1">
      <alignment horizontal="center"/>
    </xf>
    <xf numFmtId="0" fontId="7" fillId="0" borderId="13" xfId="2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1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166" fontId="0" fillId="0" borderId="0" xfId="0" applyNumberFormat="1"/>
    <xf numFmtId="167" fontId="0" fillId="0" borderId="0" xfId="0" applyNumberFormat="1"/>
    <xf numFmtId="165" fontId="0" fillId="0" borderId="0" xfId="1" applyNumberFormat="1" applyFont="1"/>
    <xf numFmtId="0" fontId="3" fillId="0" borderId="2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43" fontId="0" fillId="2" borderId="0" xfId="1" applyFont="1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2" fillId="0" borderId="14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0" xfId="0" applyNumberFormat="1" applyAlignment="1"/>
    <xf numFmtId="2" fontId="0" fillId="0" borderId="0" xfId="0" applyNumberFormat="1" applyFill="1" applyAlignment="1"/>
    <xf numFmtId="2" fontId="0" fillId="2" borderId="0" xfId="0" applyNumberFormat="1" applyFill="1" applyAlignment="1"/>
    <xf numFmtId="0" fontId="0" fillId="2" borderId="0" xfId="1" applyNumberFormat="1" applyFont="1" applyFill="1" applyAlignment="1"/>
    <xf numFmtId="0" fontId="0" fillId="0" borderId="0" xfId="1" applyNumberFormat="1" applyFont="1" applyFill="1" applyAlignment="1"/>
    <xf numFmtId="0" fontId="0" fillId="0" borderId="0" xfId="1" applyNumberFormat="1" applyFont="1" applyAlignment="1"/>
    <xf numFmtId="0" fontId="0" fillId="0" borderId="0" xfId="0" applyNumberFormat="1" applyAlignment="1"/>
    <xf numFmtId="0" fontId="0" fillId="2" borderId="0" xfId="0" applyNumberFormat="1" applyFill="1" applyAlignment="1"/>
    <xf numFmtId="0" fontId="0" fillId="0" borderId="0" xfId="0" applyNumberFormat="1" applyFill="1" applyAlignment="1"/>
    <xf numFmtId="0" fontId="0" fillId="0" borderId="0" xfId="0" applyAlignment="1"/>
    <xf numFmtId="43" fontId="0" fillId="0" borderId="0" xfId="1" applyFont="1" applyAlignment="1"/>
    <xf numFmtId="168" fontId="0" fillId="0" borderId="0" xfId="1" applyNumberFormat="1" applyFont="1" applyAlignment="1">
      <alignment horizontal="center"/>
    </xf>
    <xf numFmtId="165" fontId="0" fillId="0" borderId="0" xfId="1" applyNumberFormat="1" applyFont="1" applyAlignment="1"/>
    <xf numFmtId="168" fontId="0" fillId="2" borderId="0" xfId="1" applyNumberFormat="1" applyFont="1" applyFill="1" applyAlignment="1">
      <alignment horizontal="center"/>
    </xf>
    <xf numFmtId="43" fontId="0" fillId="2" borderId="0" xfId="1" applyFont="1" applyFill="1" applyAlignment="1"/>
    <xf numFmtId="165" fontId="0" fillId="2" borderId="0" xfId="1" applyNumberFormat="1" applyFont="1" applyFill="1" applyAlignment="1"/>
    <xf numFmtId="0" fontId="0" fillId="3" borderId="0" xfId="0" applyFill="1"/>
    <xf numFmtId="2" fontId="0" fillId="0" borderId="0" xfId="0" applyNumberFormat="1"/>
    <xf numFmtId="168" fontId="0" fillId="0" borderId="0" xfId="0" applyNumberFormat="1" applyFont="1" applyFill="1" applyBorder="1" applyAlignment="1">
      <alignment horizontal="center"/>
    </xf>
    <xf numFmtId="43" fontId="0" fillId="0" borderId="0" xfId="1" applyFont="1" applyFill="1" applyAlignment="1"/>
    <xf numFmtId="165" fontId="0" fillId="0" borderId="0" xfId="1" applyNumberFormat="1" applyFont="1" applyFill="1" applyAlignment="1"/>
    <xf numFmtId="43" fontId="0" fillId="0" borderId="0" xfId="0" applyNumberFormat="1" applyFill="1" applyAlignment="1"/>
    <xf numFmtId="2" fontId="0" fillId="0" borderId="0" xfId="0" quotePrefix="1" applyNumberFormat="1" applyFill="1" applyAlignment="1"/>
    <xf numFmtId="2" fontId="0" fillId="0" borderId="3" xfId="0" applyNumberFormat="1" applyBorder="1" applyAlignment="1">
      <alignment horizontal="center"/>
    </xf>
    <xf numFmtId="0" fontId="2" fillId="0" borderId="2" xfId="0" applyFont="1" applyBorder="1"/>
    <xf numFmtId="166" fontId="0" fillId="0" borderId="0" xfId="0" applyNumberFormat="1" applyBorder="1"/>
    <xf numFmtId="166" fontId="0" fillId="0" borderId="0" xfId="1" applyNumberFormat="1" applyFont="1" applyBorder="1"/>
    <xf numFmtId="167" fontId="0" fillId="0" borderId="0" xfId="0" applyNumberFormat="1" applyBorder="1"/>
    <xf numFmtId="2" fontId="0" fillId="0" borderId="0" xfId="0" applyNumberFormat="1" applyBorder="1"/>
    <xf numFmtId="0" fontId="2" fillId="0" borderId="16" xfId="0" applyFont="1" applyBorder="1"/>
    <xf numFmtId="0" fontId="2" fillId="0" borderId="18" xfId="0" applyFont="1" applyBorder="1"/>
    <xf numFmtId="0" fontId="11" fillId="0" borderId="0" xfId="0" applyFont="1"/>
    <xf numFmtId="0" fontId="0" fillId="0" borderId="9" xfId="0" applyBorder="1"/>
    <xf numFmtId="0" fontId="0" fillId="0" borderId="19" xfId="0" applyBorder="1"/>
    <xf numFmtId="0" fontId="0" fillId="0" borderId="10" xfId="0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168" fontId="0" fillId="0" borderId="0" xfId="0" applyNumberFormat="1" applyBorder="1"/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1" fontId="0" fillId="0" borderId="0" xfId="0" applyNumberFormat="1" applyBorder="1"/>
    <xf numFmtId="11" fontId="0" fillId="0" borderId="0" xfId="0" applyNumberFormat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/>
    <xf numFmtId="0" fontId="5" fillId="0" borderId="1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5" fillId="0" borderId="14" xfId="0" applyFont="1" applyBorder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43" fontId="0" fillId="0" borderId="12" xfId="0" applyNumberFormat="1" applyBorder="1" applyAlignment="1">
      <alignment horizontal="center"/>
    </xf>
    <xf numFmtId="169" fontId="0" fillId="0" borderId="14" xfId="0" applyNumberFormat="1" applyBorder="1" applyAlignment="1">
      <alignment horizontal="center"/>
    </xf>
    <xf numFmtId="43" fontId="0" fillId="2" borderId="0" xfId="0" applyNumberFormat="1" applyFill="1" applyAlignment="1"/>
    <xf numFmtId="0" fontId="0" fillId="3" borderId="0" xfId="0" applyFill="1" applyAlignment="1">
      <alignment horizontal="center"/>
    </xf>
    <xf numFmtId="43" fontId="0" fillId="3" borderId="0" xfId="1" applyFont="1" applyFill="1" applyAlignment="1">
      <alignment horizontal="center"/>
    </xf>
    <xf numFmtId="164" fontId="0" fillId="3" borderId="0" xfId="1" applyNumberFormat="1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43" fontId="0" fillId="3" borderId="0" xfId="0" applyNumberFormat="1" applyFill="1" applyAlignment="1"/>
    <xf numFmtId="0" fontId="0" fillId="3" borderId="0" xfId="0" applyNumberFormat="1" applyFill="1" applyAlignment="1"/>
    <xf numFmtId="2" fontId="0" fillId="3" borderId="0" xfId="0" applyNumberFormat="1" applyFill="1" applyAlignment="1"/>
    <xf numFmtId="168" fontId="0" fillId="3" borderId="0" xfId="0" applyNumberFormat="1" applyFill="1" applyAlignment="1">
      <alignment horizontal="center"/>
    </xf>
    <xf numFmtId="2" fontId="0" fillId="3" borderId="0" xfId="0" applyNumberFormat="1" applyFill="1"/>
    <xf numFmtId="166" fontId="0" fillId="3" borderId="0" xfId="0" applyNumberFormat="1" applyFill="1" applyAlignment="1">
      <alignment horizontal="center"/>
    </xf>
    <xf numFmtId="43" fontId="0" fillId="3" borderId="0" xfId="1" applyFont="1" applyFill="1" applyAlignment="1">
      <alignment horizontal="right"/>
    </xf>
    <xf numFmtId="0" fontId="0" fillId="0" borderId="0" xfId="0"/>
    <xf numFmtId="0" fontId="0" fillId="0" borderId="0" xfId="0"/>
    <xf numFmtId="0" fontId="5" fillId="0" borderId="14" xfId="0" applyFont="1" applyBorder="1" applyAlignment="1">
      <alignment horizontal="center"/>
    </xf>
    <xf numFmtId="0" fontId="0" fillId="0" borderId="0" xfId="0"/>
    <xf numFmtId="0" fontId="5" fillId="0" borderId="8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11" xfId="0" applyBorder="1"/>
    <xf numFmtId="0" fontId="0" fillId="0" borderId="8" xfId="0" applyBorder="1"/>
    <xf numFmtId="0" fontId="2" fillId="0" borderId="12" xfId="0" applyFont="1" applyFill="1" applyBorder="1"/>
    <xf numFmtId="0" fontId="2" fillId="0" borderId="13" xfId="0" applyFont="1" applyFill="1" applyBorder="1"/>
    <xf numFmtId="0" fontId="0" fillId="0" borderId="3" xfId="0" applyBorder="1"/>
    <xf numFmtId="0" fontId="0" fillId="0" borderId="1" xfId="0" applyBorder="1"/>
    <xf numFmtId="0" fontId="0" fillId="0" borderId="0" xfId="0" applyNumberFormat="1"/>
    <xf numFmtId="9" fontId="0" fillId="0" borderId="0" xfId="3" applyFont="1"/>
    <xf numFmtId="0" fontId="2" fillId="0" borderId="2" xfId="0" applyFont="1" applyFill="1" applyBorder="1"/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4" xfId="0" applyFont="1" applyBorder="1"/>
    <xf numFmtId="170" fontId="0" fillId="0" borderId="0" xfId="1" applyNumberFormat="1" applyFont="1" applyBorder="1"/>
    <xf numFmtId="170" fontId="0" fillId="0" borderId="19" xfId="1" applyNumberFormat="1" applyFont="1" applyBorder="1"/>
    <xf numFmtId="44" fontId="0" fillId="0" borderId="0" xfId="4" applyFont="1"/>
    <xf numFmtId="44" fontId="0" fillId="0" borderId="0" xfId="0" applyNumberFormat="1"/>
    <xf numFmtId="0" fontId="0" fillId="0" borderId="1" xfId="0" applyFill="1" applyBorder="1"/>
    <xf numFmtId="0" fontId="5" fillId="0" borderId="11" xfId="0" applyFont="1" applyBorder="1" applyAlignment="1"/>
    <xf numFmtId="0" fontId="5" fillId="0" borderId="12" xfId="0" applyFont="1" applyBorder="1" applyAlignment="1"/>
    <xf numFmtId="0" fontId="5" fillId="0" borderId="13" xfId="0" applyFont="1" applyBorder="1" applyAlignment="1"/>
    <xf numFmtId="171" fontId="0" fillId="0" borderId="0" xfId="0" applyNumberFormat="1"/>
    <xf numFmtId="0" fontId="2" fillId="0" borderId="14" xfId="0" applyFont="1" applyFill="1" applyBorder="1" applyAlignment="1">
      <alignment horizontal="center"/>
    </xf>
    <xf numFmtId="0" fontId="2" fillId="0" borderId="11" xfId="0" applyFont="1" applyFill="1" applyBorder="1"/>
    <xf numFmtId="10" fontId="0" fillId="0" borderId="0" xfId="3" applyNumberFormat="1" applyFont="1"/>
    <xf numFmtId="172" fontId="0" fillId="0" borderId="0" xfId="3" applyNumberFormat="1" applyFont="1"/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</cellXfs>
  <cellStyles count="5">
    <cellStyle name="Normal 2" xfId="2"/>
    <cellStyle name="Денежный" xfId="4" builtinId="4"/>
    <cellStyle name="Обычный" xfId="0" builtinId="0"/>
    <cellStyle name="Процентный" xfId="3" builtinId="5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50</xdr:row>
      <xdr:rowOff>190499</xdr:rowOff>
    </xdr:from>
    <xdr:to>
      <xdr:col>11</xdr:col>
      <xdr:colOff>95249</xdr:colOff>
      <xdr:row>52</xdr:row>
      <xdr:rowOff>146830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5325" y="7686674"/>
          <a:ext cx="2533650" cy="346855"/>
        </a:xfrm>
        <a:prstGeom prst="rect">
          <a:avLst/>
        </a:prstGeom>
      </xdr:spPr>
    </xdr:pic>
    <xdr:clientData/>
  </xdr:twoCellAnchor>
  <xdr:twoCellAnchor editAs="oneCell">
    <xdr:from>
      <xdr:col>14</xdr:col>
      <xdr:colOff>194422</xdr:colOff>
      <xdr:row>51</xdr:row>
      <xdr:rowOff>76760</xdr:rowOff>
    </xdr:from>
    <xdr:to>
      <xdr:col>18</xdr:col>
      <xdr:colOff>516765</xdr:colOff>
      <xdr:row>55</xdr:row>
      <xdr:rowOff>43682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91893" y="9893113"/>
          <a:ext cx="3751343" cy="751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15</xdr:col>
      <xdr:colOff>515471</xdr:colOff>
      <xdr:row>17</xdr:row>
      <xdr:rowOff>179294</xdr:rowOff>
    </xdr:to>
    <xdr:pic>
      <xdr:nvPicPr>
        <xdr:cNvPr id="7" name="Рисунок 6"/>
        <xdr:cNvPicPr/>
      </xdr:nvPicPr>
      <xdr:blipFill rotWithShape="1">
        <a:blip xmlns:r="http://schemas.openxmlformats.org/officeDocument/2006/relationships" r:embed="rId3"/>
        <a:srcRect r="8943"/>
        <a:stretch/>
      </xdr:blipFill>
      <xdr:spPr bwMode="auto">
        <a:xfrm>
          <a:off x="0" y="190500"/>
          <a:ext cx="10107706" cy="326091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142875</xdr:colOff>
      <xdr:row>17</xdr:row>
      <xdr:rowOff>76200</xdr:rowOff>
    </xdr:from>
    <xdr:to>
      <xdr:col>20</xdr:col>
      <xdr:colOff>370735</xdr:colOff>
      <xdr:row>53</xdr:row>
      <xdr:rowOff>142004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8075" y="3333750"/>
          <a:ext cx="5923810" cy="69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13</xdr:col>
      <xdr:colOff>160914</xdr:colOff>
      <xdr:row>80</xdr:row>
      <xdr:rowOff>104119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63175"/>
          <a:ext cx="8095239" cy="524761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56</xdr:row>
      <xdr:rowOff>0</xdr:rowOff>
    </xdr:from>
    <xdr:to>
      <xdr:col>21</xdr:col>
      <xdr:colOff>46988</xdr:colOff>
      <xdr:row>74</xdr:row>
      <xdr:rowOff>37667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00" y="10734675"/>
          <a:ext cx="5095238" cy="34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8</xdr:col>
      <xdr:colOff>142248</xdr:colOff>
      <xdr:row>101</xdr:row>
      <xdr:rowOff>85262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687675"/>
          <a:ext cx="5019048" cy="370476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82</xdr:row>
      <xdr:rowOff>0</xdr:rowOff>
    </xdr:from>
    <xdr:to>
      <xdr:col>16</xdr:col>
      <xdr:colOff>66072</xdr:colOff>
      <xdr:row>101</xdr:row>
      <xdr:rowOff>151929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0" y="15687675"/>
          <a:ext cx="4828572" cy="3771429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82</xdr:row>
      <xdr:rowOff>0</xdr:rowOff>
    </xdr:from>
    <xdr:to>
      <xdr:col>24</xdr:col>
      <xdr:colOff>466122</xdr:colOff>
      <xdr:row>101</xdr:row>
      <xdr:rowOff>28119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5687675"/>
          <a:ext cx="4828572" cy="36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7</xdr:col>
      <xdr:colOff>494705</xdr:colOff>
      <xdr:row>121</xdr:row>
      <xdr:rowOff>85286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9688175"/>
          <a:ext cx="4761905" cy="351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5</xdr:col>
      <xdr:colOff>540024</xdr:colOff>
      <xdr:row>20</xdr:row>
      <xdr:rowOff>36311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05200"/>
          <a:ext cx="3588024" cy="4173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50</xdr:row>
      <xdr:rowOff>0</xdr:rowOff>
    </xdr:from>
    <xdr:to>
      <xdr:col>8</xdr:col>
      <xdr:colOff>266034</xdr:colOff>
      <xdr:row>74</xdr:row>
      <xdr:rowOff>8953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39325"/>
          <a:ext cx="5333334" cy="4580953"/>
        </a:xfrm>
        <a:prstGeom prst="rect">
          <a:avLst/>
        </a:prstGeom>
      </xdr:spPr>
    </xdr:pic>
    <xdr:clientData/>
  </xdr:twoCellAnchor>
  <xdr:twoCellAnchor editAs="oneCell">
    <xdr:from>
      <xdr:col>22</xdr:col>
      <xdr:colOff>180975</xdr:colOff>
      <xdr:row>0</xdr:row>
      <xdr:rowOff>0</xdr:rowOff>
    </xdr:from>
    <xdr:to>
      <xdr:col>30</xdr:col>
      <xdr:colOff>485128</xdr:colOff>
      <xdr:row>32</xdr:row>
      <xdr:rowOff>8734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9325" y="0"/>
          <a:ext cx="5180953" cy="6333334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</xdr:row>
      <xdr:rowOff>0</xdr:rowOff>
    </xdr:from>
    <xdr:to>
      <xdr:col>31</xdr:col>
      <xdr:colOff>466058</xdr:colOff>
      <xdr:row>46</xdr:row>
      <xdr:rowOff>56849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7950" y="6715125"/>
          <a:ext cx="5342858" cy="2409524"/>
        </a:xfrm>
        <a:prstGeom prst="rect">
          <a:avLst/>
        </a:prstGeom>
      </xdr:spPr>
    </xdr:pic>
    <xdr:clientData/>
  </xdr:twoCellAnchor>
  <xdr:twoCellAnchor editAs="oneCell">
    <xdr:from>
      <xdr:col>9</xdr:col>
      <xdr:colOff>179854</xdr:colOff>
      <xdr:row>51</xdr:row>
      <xdr:rowOff>61072</xdr:rowOff>
    </xdr:from>
    <xdr:to>
      <xdr:col>17</xdr:col>
      <xdr:colOff>189287</xdr:colOff>
      <xdr:row>63</xdr:row>
      <xdr:rowOff>178434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66254" y="10100422"/>
          <a:ext cx="5238658" cy="2403362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47</xdr:row>
      <xdr:rowOff>95811</xdr:rowOff>
    </xdr:from>
    <xdr:to>
      <xdr:col>17</xdr:col>
      <xdr:colOff>123748</xdr:colOff>
      <xdr:row>51</xdr:row>
      <xdr:rowOff>135492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24525" y="9373161"/>
          <a:ext cx="5114848" cy="801681"/>
        </a:xfrm>
        <a:prstGeom prst="rect">
          <a:avLst/>
        </a:prstGeom>
      </xdr:spPr>
    </xdr:pic>
    <xdr:clientData/>
  </xdr:twoCellAnchor>
  <xdr:twoCellAnchor editAs="oneCell">
    <xdr:from>
      <xdr:col>31</xdr:col>
      <xdr:colOff>235324</xdr:colOff>
      <xdr:row>7</xdr:row>
      <xdr:rowOff>1</xdr:rowOff>
    </xdr:from>
    <xdr:to>
      <xdr:col>42</xdr:col>
      <xdr:colOff>67516</xdr:colOff>
      <xdr:row>31</xdr:row>
      <xdr:rowOff>155542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61206" y="1344707"/>
          <a:ext cx="6488486" cy="4962864"/>
        </a:xfrm>
        <a:prstGeom prst="rect">
          <a:avLst/>
        </a:prstGeom>
      </xdr:spPr>
    </xdr:pic>
    <xdr:clientData/>
  </xdr:twoCellAnchor>
  <xdr:twoCellAnchor editAs="oneCell">
    <xdr:from>
      <xdr:col>8</xdr:col>
      <xdr:colOff>346936</xdr:colOff>
      <xdr:row>53</xdr:row>
      <xdr:rowOff>42287</xdr:rowOff>
    </xdr:from>
    <xdr:to>
      <xdr:col>18</xdr:col>
      <xdr:colOff>668536</xdr:colOff>
      <xdr:row>77</xdr:row>
      <xdr:rowOff>180975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23736" y="10462637"/>
          <a:ext cx="6931950" cy="47106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152399</xdr:rowOff>
    </xdr:from>
    <xdr:to>
      <xdr:col>9</xdr:col>
      <xdr:colOff>200025</xdr:colOff>
      <xdr:row>83</xdr:row>
      <xdr:rowOff>56108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9429749"/>
          <a:ext cx="5876925" cy="6761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B61"/>
  <sheetViews>
    <sheetView zoomScale="85" zoomScaleNormal="85" workbookViewId="0">
      <selection activeCell="A2" sqref="A2"/>
    </sheetView>
  </sheetViews>
  <sheetFormatPr defaultRowHeight="15" x14ac:dyDescent="0.25"/>
  <cols>
    <col min="3" max="3" width="11.85546875" bestFit="1" customWidth="1"/>
    <col min="4" max="4" width="10.7109375" bestFit="1" customWidth="1"/>
    <col min="12" max="12" width="11" bestFit="1" customWidth="1"/>
    <col min="14" max="14" width="10.42578125" customWidth="1"/>
    <col min="16" max="16" width="11.7109375" bestFit="1" customWidth="1"/>
    <col min="17" max="17" width="11.85546875" bestFit="1" customWidth="1"/>
    <col min="18" max="18" width="18.5703125" bestFit="1" customWidth="1"/>
    <col min="19" max="19" width="13.7109375" bestFit="1" customWidth="1"/>
    <col min="20" max="20" width="11.5703125" bestFit="1" customWidth="1"/>
    <col min="21" max="21" width="18" bestFit="1" customWidth="1"/>
    <col min="22" max="22" width="11.7109375" bestFit="1" customWidth="1"/>
    <col min="23" max="23" width="18" bestFit="1" customWidth="1"/>
    <col min="24" max="24" width="11.7109375" bestFit="1" customWidth="1"/>
  </cols>
  <sheetData>
    <row r="5" spans="17:23" ht="15.75" thickBot="1" x14ac:dyDescent="0.3"/>
    <row r="6" spans="17:23" ht="15.75" thickBot="1" x14ac:dyDescent="0.3">
      <c r="Q6" s="1"/>
      <c r="R6" s="63" t="s">
        <v>70</v>
      </c>
      <c r="S6" s="63" t="s">
        <v>71</v>
      </c>
      <c r="T6" s="63" t="s">
        <v>72</v>
      </c>
      <c r="U6" s="63" t="s">
        <v>73</v>
      </c>
      <c r="W6" s="171">
        <f>E46*F46/E25/F25</f>
        <v>0.99673894565281496</v>
      </c>
    </row>
    <row r="7" spans="17:23" x14ac:dyDescent="0.25">
      <c r="Q7" s="20" t="s">
        <v>82</v>
      </c>
      <c r="R7" s="33" t="s">
        <v>74</v>
      </c>
      <c r="S7" s="64">
        <f>S26-S25-S34</f>
        <v>74053.317556486625</v>
      </c>
      <c r="T7" s="89">
        <f>S7/1000</f>
        <v>74.053317556486618</v>
      </c>
      <c r="U7" s="89">
        <f>T7/3.6</f>
        <v>20.57036598791295</v>
      </c>
      <c r="W7" s="172">
        <f>E46*G46/E25/G25</f>
        <v>3.2271370321418609E-3</v>
      </c>
    </row>
    <row r="8" spans="17:23" x14ac:dyDescent="0.25">
      <c r="Q8" s="22" t="s">
        <v>83</v>
      </c>
      <c r="R8" s="33" t="s">
        <v>75</v>
      </c>
      <c r="S8" s="64">
        <f>S30-S29</f>
        <v>142763.77143208013</v>
      </c>
      <c r="T8" s="64">
        <f t="shared" ref="T8:T13" si="0">S8/1000</f>
        <v>142.76377143208012</v>
      </c>
      <c r="U8" s="64">
        <f t="shared" ref="U8:U13" si="1">T8/3.6</f>
        <v>39.656603175577807</v>
      </c>
    </row>
    <row r="9" spans="17:23" x14ac:dyDescent="0.25">
      <c r="Q9" s="22" t="s">
        <v>84</v>
      </c>
      <c r="R9" s="33" t="s">
        <v>76</v>
      </c>
      <c r="S9" s="64">
        <f>S32-S33</f>
        <v>196496.23846155865</v>
      </c>
      <c r="T9" s="64">
        <f t="shared" si="0"/>
        <v>196.49623846155865</v>
      </c>
      <c r="U9" s="64">
        <f t="shared" si="1"/>
        <v>54.582288461544067</v>
      </c>
    </row>
    <row r="10" spans="17:23" x14ac:dyDescent="0.25">
      <c r="Q10" s="22" t="s">
        <v>85</v>
      </c>
      <c r="R10" s="33" t="s">
        <v>77</v>
      </c>
      <c r="S10" s="64">
        <f>S36+S39-S35</f>
        <v>418472.77602469077</v>
      </c>
      <c r="T10" s="64">
        <f t="shared" si="0"/>
        <v>418.47277602469075</v>
      </c>
      <c r="U10" s="64">
        <f>T10/3.6</f>
        <v>116.24243778463631</v>
      </c>
    </row>
    <row r="11" spans="17:23" x14ac:dyDescent="0.25">
      <c r="Q11" s="22" t="s">
        <v>86</v>
      </c>
      <c r="R11" s="33" t="s">
        <v>78</v>
      </c>
      <c r="S11" s="64">
        <f>S36-S37</f>
        <v>437876.3021417018</v>
      </c>
      <c r="T11" s="64">
        <f t="shared" si="0"/>
        <v>437.87630214170179</v>
      </c>
      <c r="U11" s="64">
        <f>T11/3.6</f>
        <v>121.63230615047271</v>
      </c>
    </row>
    <row r="12" spans="17:23" x14ac:dyDescent="0.25">
      <c r="Q12" s="22" t="s">
        <v>87</v>
      </c>
      <c r="R12" s="33" t="s">
        <v>79</v>
      </c>
      <c r="S12" s="64">
        <f>S44+S47-S42-S43</f>
        <v>385782.3889703477</v>
      </c>
      <c r="T12" s="64">
        <f t="shared" si="0"/>
        <v>385.78238897034771</v>
      </c>
      <c r="U12" s="64">
        <f>T12/3.6</f>
        <v>107.16177471398547</v>
      </c>
    </row>
    <row r="13" spans="17:23" ht="15.75" thickBot="1" x14ac:dyDescent="0.3">
      <c r="Q13" s="23" t="s">
        <v>88</v>
      </c>
      <c r="R13" s="35" t="s">
        <v>80</v>
      </c>
      <c r="S13" s="65">
        <f>S44-S45</f>
        <v>436592.29909928632</v>
      </c>
      <c r="T13" s="65">
        <f t="shared" si="0"/>
        <v>436.59229909928632</v>
      </c>
      <c r="U13" s="65">
        <f t="shared" si="1"/>
        <v>121.27563863869064</v>
      </c>
    </row>
    <row r="16" spans="17:23" x14ac:dyDescent="0.25">
      <c r="Q16" s="111" t="s">
        <v>40</v>
      </c>
      <c r="R16" s="31">
        <f>(E25*M25*D25+D34*E34*M34)/(E25*M25+E34*M34)</f>
        <v>299.89224766352248</v>
      </c>
      <c r="S16" s="31">
        <f>R16-273.15</f>
        <v>26.742247663522505</v>
      </c>
    </row>
    <row r="19" spans="1:28" ht="15.75" thickBot="1" x14ac:dyDescent="0.3">
      <c r="R19">
        <f>EXP(F40*LN(0.55)+G40*LN(0.35)+H40*LN(355))</f>
        <v>309.10440257827565</v>
      </c>
      <c r="U19">
        <v>44.566995134644401</v>
      </c>
    </row>
    <row r="20" spans="1:28" ht="15.75" thickBot="1" x14ac:dyDescent="0.3">
      <c r="A20" s="28" t="s">
        <v>31</v>
      </c>
      <c r="B20" s="29"/>
      <c r="C20" s="29" t="s">
        <v>11</v>
      </c>
      <c r="D20" s="29">
        <v>273.14999999999998</v>
      </c>
      <c r="E20" s="30" t="s">
        <v>32</v>
      </c>
      <c r="H20" s="31"/>
      <c r="U20">
        <v>317.71699513464438</v>
      </c>
    </row>
    <row r="21" spans="1:28" x14ac:dyDescent="0.25">
      <c r="U21">
        <v>13.480312955024024</v>
      </c>
    </row>
    <row r="22" spans="1:28" x14ac:dyDescent="0.25">
      <c r="U22">
        <v>0.99685981659189504</v>
      </c>
    </row>
    <row r="23" spans="1:28" ht="17.25" x14ac:dyDescent="0.3">
      <c r="A23" s="2"/>
      <c r="B23" s="2"/>
      <c r="D23" s="2"/>
      <c r="E23" s="2"/>
      <c r="F23" s="173" t="s">
        <v>3</v>
      </c>
      <c r="G23" s="174"/>
      <c r="H23" s="175"/>
      <c r="I23" s="2"/>
      <c r="J23" s="173" t="s">
        <v>13</v>
      </c>
      <c r="K23" s="174"/>
      <c r="L23" s="175"/>
      <c r="M23" s="2"/>
      <c r="N23" s="173" t="s">
        <v>14</v>
      </c>
      <c r="O23" s="174"/>
      <c r="P23" s="175"/>
      <c r="Q23" s="2"/>
      <c r="R23" s="2"/>
      <c r="S23" s="2"/>
      <c r="U23">
        <v>4.6882287487226147E-4</v>
      </c>
    </row>
    <row r="24" spans="1:28" ht="17.25" x14ac:dyDescent="0.3">
      <c r="A24" s="5" t="s">
        <v>2</v>
      </c>
      <c r="B24" s="5" t="s">
        <v>1</v>
      </c>
      <c r="C24" s="56" t="s">
        <v>69</v>
      </c>
      <c r="D24" s="5" t="s">
        <v>8</v>
      </c>
      <c r="E24" s="56" t="s">
        <v>0</v>
      </c>
      <c r="F24" s="56" t="s">
        <v>4</v>
      </c>
      <c r="G24" s="56" t="s">
        <v>5</v>
      </c>
      <c r="H24" s="56" t="s">
        <v>6</v>
      </c>
      <c r="I24" s="56" t="s">
        <v>7</v>
      </c>
      <c r="J24" s="56" t="s">
        <v>4</v>
      </c>
      <c r="K24" s="56" t="s">
        <v>5</v>
      </c>
      <c r="L24" s="56" t="s">
        <v>6</v>
      </c>
      <c r="M24" s="56" t="s">
        <v>15</v>
      </c>
      <c r="N24" s="56" t="s">
        <v>4</v>
      </c>
      <c r="O24" s="56" t="s">
        <v>5</v>
      </c>
      <c r="P24" s="56" t="s">
        <v>6</v>
      </c>
      <c r="Q24" s="56" t="s">
        <v>16</v>
      </c>
      <c r="R24" s="56" t="s">
        <v>9</v>
      </c>
      <c r="S24" s="56" t="s">
        <v>10</v>
      </c>
      <c r="U24">
        <v>2.6713605332326961E-3</v>
      </c>
    </row>
    <row r="25" spans="1:28" x14ac:dyDescent="0.25">
      <c r="A25" s="1">
        <v>1</v>
      </c>
      <c r="B25" s="1" t="s">
        <v>11</v>
      </c>
      <c r="C25" s="77">
        <v>25</v>
      </c>
      <c r="D25" s="3">
        <f>C25+273.15</f>
        <v>298.14999999999998</v>
      </c>
      <c r="E25" s="76">
        <v>25</v>
      </c>
      <c r="F25" s="78">
        <v>0.54</v>
      </c>
      <c r="G25" s="78">
        <v>0.46</v>
      </c>
      <c r="H25" s="78">
        <v>0</v>
      </c>
      <c r="I25" s="3">
        <f>(D25+$D$20)/2</f>
        <v>285.64999999999998</v>
      </c>
      <c r="J25" s="1">
        <v>187.5</v>
      </c>
      <c r="K25" s="4">
        <f>$A$57+$B$57*I25+$C$57*I25^2+$D$57*I25^3</f>
        <v>78.910559975057438</v>
      </c>
      <c r="L25" s="18">
        <f>$A$61+$B$61*I25+$C$61*I25^2</f>
        <v>290.55413674999988</v>
      </c>
      <c r="M25" s="18">
        <f>F25*J25+G25*K25+H25*L25</f>
        <v>137.54885758852643</v>
      </c>
      <c r="N25" s="75"/>
      <c r="O25" s="75"/>
      <c r="P25" s="75"/>
      <c r="Q25" s="75"/>
      <c r="R25" s="66">
        <f t="shared" ref="R25:R30" si="2">M25*(D25-$D$20)</f>
        <v>3438.7214397131606</v>
      </c>
      <c r="S25" s="66">
        <f t="shared" ref="S25:S41" si="3">R25*E25</f>
        <v>85968.035992829013</v>
      </c>
      <c r="V25" s="31"/>
      <c r="W25" s="31"/>
      <c r="X25" s="31"/>
      <c r="Y25" s="31"/>
      <c r="Z25" s="31"/>
      <c r="AA25" s="31"/>
      <c r="AB25" s="31"/>
    </row>
    <row r="26" spans="1:28" x14ac:dyDescent="0.25">
      <c r="A26" s="1" t="s">
        <v>33</v>
      </c>
      <c r="B26" s="1" t="s">
        <v>11</v>
      </c>
      <c r="C26" s="77">
        <v>45</v>
      </c>
      <c r="D26" s="3">
        <f t="shared" ref="D26:D41" si="4">C26+273.15</f>
        <v>318.14999999999998</v>
      </c>
      <c r="E26" s="76">
        <v>30.499721154502808</v>
      </c>
      <c r="F26" s="78">
        <v>0.47577271586918651</v>
      </c>
      <c r="G26" s="78">
        <v>0.52422728413081354</v>
      </c>
      <c r="H26" s="78">
        <v>0</v>
      </c>
      <c r="I26" s="3">
        <f t="shared" ref="I26:I41" si="5">(D26+$D$20)/2</f>
        <v>295.64999999999998</v>
      </c>
      <c r="J26" s="1">
        <v>187.5</v>
      </c>
      <c r="K26" s="4">
        <f>$A$57+$B$57*I26+$C$57*I26^2+$D$57*I26^3</f>
        <v>80.988005503573376</v>
      </c>
      <c r="L26" s="18">
        <f t="shared" ref="L26:L39" si="6">$A$61+$B$61*I26+$C$61*I26^2</f>
        <v>292.98103674999982</v>
      </c>
      <c r="M26" s="18">
        <f t="shared" ref="M26:M39" si="7">F26*J26+G26*K26+H26*L26</f>
        <v>131.6635063977821</v>
      </c>
      <c r="N26" s="75"/>
      <c r="O26" s="75"/>
      <c r="P26" s="75"/>
      <c r="Q26" s="75"/>
      <c r="R26" s="66">
        <f t="shared" si="2"/>
        <v>5924.8577879001941</v>
      </c>
      <c r="S26" s="66">
        <f t="shared" si="3"/>
        <v>180706.51041104028</v>
      </c>
      <c r="V26" s="31"/>
      <c r="W26" s="31"/>
      <c r="X26" s="31"/>
      <c r="Y26" s="31"/>
      <c r="Z26" s="31"/>
      <c r="AA26" s="31"/>
      <c r="AB26" s="31"/>
    </row>
    <row r="27" spans="1:28" x14ac:dyDescent="0.25">
      <c r="A27" s="1">
        <v>4</v>
      </c>
      <c r="B27" s="1" t="s">
        <v>11</v>
      </c>
      <c r="C27" s="77">
        <v>45</v>
      </c>
      <c r="D27" s="3">
        <f t="shared" si="4"/>
        <v>318.14999999999998</v>
      </c>
      <c r="E27" s="76">
        <v>0</v>
      </c>
      <c r="F27" s="78">
        <v>0</v>
      </c>
      <c r="G27" s="78">
        <v>0</v>
      </c>
      <c r="H27" s="78">
        <v>1</v>
      </c>
      <c r="I27" s="3">
        <f t="shared" si="5"/>
        <v>295.64999999999998</v>
      </c>
      <c r="J27" s="1">
        <v>187.5</v>
      </c>
      <c r="K27" s="4">
        <f t="shared" ref="K27:K39" si="8">$A$57+$B$57*I27+$C$57*I27^2+$D$57*I27^3</f>
        <v>80.988005503573376</v>
      </c>
      <c r="L27" s="18">
        <f t="shared" si="6"/>
        <v>292.98103674999982</v>
      </c>
      <c r="M27" s="18">
        <f t="shared" si="7"/>
        <v>292.98103674999982</v>
      </c>
      <c r="N27" s="75"/>
      <c r="O27" s="75"/>
      <c r="P27" s="76"/>
      <c r="Q27" s="75"/>
      <c r="R27" s="66">
        <f t="shared" si="2"/>
        <v>13184.146653749991</v>
      </c>
      <c r="S27" s="66">
        <f t="shared" si="3"/>
        <v>0</v>
      </c>
      <c r="V27" s="31"/>
      <c r="W27" s="31"/>
      <c r="X27" s="31"/>
      <c r="Y27" s="31"/>
      <c r="Z27" s="31"/>
      <c r="AA27" s="31"/>
      <c r="AB27" s="31"/>
    </row>
    <row r="28" spans="1:28" x14ac:dyDescent="0.25">
      <c r="A28" s="1">
        <v>5</v>
      </c>
      <c r="B28" s="1" t="s">
        <v>11</v>
      </c>
      <c r="C28" s="77">
        <v>45</v>
      </c>
      <c r="D28" s="3">
        <f t="shared" si="4"/>
        <v>318.14999999999998</v>
      </c>
      <c r="E28" s="76">
        <v>12.161668327044371</v>
      </c>
      <c r="F28" s="78">
        <v>1.5585105279960303E-3</v>
      </c>
      <c r="G28" s="78">
        <v>1.9958851973193654E-2</v>
      </c>
      <c r="H28" s="78">
        <v>0.97848264184845424</v>
      </c>
      <c r="I28" s="3">
        <f t="shared" si="5"/>
        <v>295.64999999999998</v>
      </c>
      <c r="J28" s="1">
        <v>187.5</v>
      </c>
      <c r="K28" s="4">
        <f t="shared" si="8"/>
        <v>80.988005503573376</v>
      </c>
      <c r="L28" s="18">
        <f t="shared" si="6"/>
        <v>292.98103674999982</v>
      </c>
      <c r="M28" s="18">
        <f t="shared" si="7"/>
        <v>288.58550718808817</v>
      </c>
      <c r="N28" s="75"/>
      <c r="O28" s="75"/>
      <c r="P28" s="76"/>
      <c r="Q28" s="75"/>
      <c r="R28" s="66">
        <f t="shared" si="2"/>
        <v>12986.347823463968</v>
      </c>
      <c r="S28" s="66">
        <f t="shared" si="3"/>
        <v>157935.65500860335</v>
      </c>
    </row>
    <row r="29" spans="1:28" x14ac:dyDescent="0.25">
      <c r="A29" s="1">
        <v>6</v>
      </c>
      <c r="B29" s="1" t="s">
        <v>11</v>
      </c>
      <c r="C29" s="77">
        <v>45</v>
      </c>
      <c r="D29" s="3">
        <f t="shared" si="4"/>
        <v>318.14999999999998</v>
      </c>
      <c r="E29" s="76">
        <v>29.141976027033792</v>
      </c>
      <c r="F29" s="78">
        <v>3.619337502365353E-2</v>
      </c>
      <c r="G29" s="78">
        <v>0.40812861722382998</v>
      </c>
      <c r="H29" s="78">
        <v>0.55567800775251652</v>
      </c>
      <c r="I29" s="3">
        <f t="shared" si="5"/>
        <v>295.64999999999998</v>
      </c>
      <c r="J29" s="1">
        <v>187.5</v>
      </c>
      <c r="K29" s="4">
        <f t="shared" si="8"/>
        <v>80.988005503573376</v>
      </c>
      <c r="L29" s="18">
        <f t="shared" si="6"/>
        <v>292.98103674999982</v>
      </c>
      <c r="M29" s="18">
        <f t="shared" si="7"/>
        <v>202.64289932533109</v>
      </c>
      <c r="N29" s="74"/>
      <c r="O29" s="74"/>
      <c r="P29" s="70"/>
      <c r="Q29" s="74"/>
      <c r="R29" s="66">
        <f t="shared" si="2"/>
        <v>9118.9304696398995</v>
      </c>
      <c r="S29" s="66">
        <f t="shared" si="3"/>
        <v>265743.65313843393</v>
      </c>
    </row>
    <row r="30" spans="1:28" x14ac:dyDescent="0.25">
      <c r="A30" s="1">
        <v>7</v>
      </c>
      <c r="B30" s="1" t="s">
        <v>11</v>
      </c>
      <c r="C30" s="77">
        <v>68</v>
      </c>
      <c r="D30" s="3">
        <f t="shared" si="4"/>
        <v>341.15</v>
      </c>
      <c r="E30" s="76">
        <v>29.141976027033792</v>
      </c>
      <c r="F30" s="78">
        <v>3.619337502365353E-2</v>
      </c>
      <c r="G30" s="78">
        <v>0.40812861722382998</v>
      </c>
      <c r="H30" s="78">
        <v>0.55567800775251652</v>
      </c>
      <c r="I30" s="3">
        <f t="shared" si="5"/>
        <v>307.14999999999998</v>
      </c>
      <c r="J30" s="1">
        <v>187.5</v>
      </c>
      <c r="K30" s="4">
        <f t="shared" si="8"/>
        <v>83.647247285990176</v>
      </c>
      <c r="L30" s="18">
        <f t="shared" si="6"/>
        <v>297.32964674999994</v>
      </c>
      <c r="M30" s="18">
        <f t="shared" si="7"/>
        <v>206.14463893814545</v>
      </c>
      <c r="N30" s="74"/>
      <c r="O30" s="74"/>
      <c r="P30" s="70"/>
      <c r="Q30" s="74"/>
      <c r="R30" s="66">
        <f t="shared" si="2"/>
        <v>14017.83544779389</v>
      </c>
      <c r="S30" s="66">
        <f t="shared" si="3"/>
        <v>408507.42457051406</v>
      </c>
      <c r="T30" s="83"/>
    </row>
    <row r="31" spans="1:28" x14ac:dyDescent="0.25">
      <c r="A31" s="24"/>
      <c r="B31" s="24"/>
      <c r="C31" s="84"/>
      <c r="D31" s="26"/>
      <c r="E31" s="85"/>
      <c r="F31" s="86"/>
      <c r="G31" s="86"/>
      <c r="H31" s="86"/>
      <c r="I31" s="26"/>
      <c r="J31" s="24"/>
      <c r="K31" s="25"/>
      <c r="L31" s="27"/>
      <c r="M31" s="27"/>
      <c r="N31" s="87"/>
      <c r="O31" s="74"/>
      <c r="P31" s="70"/>
      <c r="Q31" s="67"/>
      <c r="R31" s="88"/>
      <c r="S31" s="67"/>
      <c r="T31" s="83"/>
      <c r="U31" s="82">
        <v>5.4988377339891557</v>
      </c>
      <c r="V31" s="82" t="s">
        <v>81</v>
      </c>
    </row>
    <row r="32" spans="1:28" x14ac:dyDescent="0.25">
      <c r="A32" s="59">
        <v>9</v>
      </c>
      <c r="B32" s="59" t="s">
        <v>12</v>
      </c>
      <c r="C32" s="79">
        <v>45.114108710372932</v>
      </c>
      <c r="D32" s="60">
        <f t="shared" si="4"/>
        <v>318.26410871037291</v>
      </c>
      <c r="E32" s="80">
        <v>5.4988377339891557</v>
      </c>
      <c r="F32" s="81">
        <v>0.18383745092159098</v>
      </c>
      <c r="G32" s="81">
        <v>0.81616254907840946</v>
      </c>
      <c r="H32" s="81">
        <v>0</v>
      </c>
      <c r="I32" s="60">
        <f t="shared" si="5"/>
        <v>295.70705435518641</v>
      </c>
      <c r="J32" s="59">
        <v>187.5</v>
      </c>
      <c r="K32" s="61">
        <f t="shared" si="8"/>
        <v>81.000485395438602</v>
      </c>
      <c r="L32" s="62">
        <f t="shared" si="6"/>
        <v>292.99849820359339</v>
      </c>
      <c r="M32" s="62">
        <f t="shared" si="7"/>
        <v>100.57908468472796</v>
      </c>
      <c r="N32" s="73">
        <f>$N$54*1000*EXP(-$N$55*D32/$N$56)*(1-D32/$N$56)^$N$55</f>
        <v>28578.34030805506</v>
      </c>
      <c r="O32" s="73">
        <f>$G$53*1000*EXP(-$G$54*D32/$G$56)*(1-D32/$G$56)^$G$55</f>
        <v>36395.406494316463</v>
      </c>
      <c r="P32" s="69">
        <v>0</v>
      </c>
      <c r="Q32" s="68">
        <f>N32*F32+O32*G32</f>
        <v>34958.336972948819</v>
      </c>
      <c r="R32" s="68">
        <f>M32*(D32-$D$20)+Q32</f>
        <v>39495.872733405442</v>
      </c>
      <c r="S32" s="68">
        <f t="shared" si="3"/>
        <v>217181.39532328327</v>
      </c>
      <c r="U32" s="82">
        <v>0.18383745092159098</v>
      </c>
      <c r="V32" s="82" t="s">
        <v>22</v>
      </c>
    </row>
    <row r="33" spans="1:22" x14ac:dyDescent="0.25">
      <c r="A33" s="1">
        <v>10</v>
      </c>
      <c r="B33" s="1" t="s">
        <v>11</v>
      </c>
      <c r="C33" s="77">
        <v>37.645679363418935</v>
      </c>
      <c r="D33" s="3">
        <f t="shared" si="4"/>
        <v>310.79567936341891</v>
      </c>
      <c r="E33" s="76">
        <v>5.4988377339891557</v>
      </c>
      <c r="F33" s="78">
        <v>0.18383745092159098</v>
      </c>
      <c r="G33" s="78">
        <v>0.81616254907840946</v>
      </c>
      <c r="H33" s="78">
        <v>0</v>
      </c>
      <c r="I33" s="3">
        <f t="shared" si="5"/>
        <v>291.97283968170944</v>
      </c>
      <c r="J33" s="1">
        <v>187.5</v>
      </c>
      <c r="K33" s="4">
        <f t="shared" si="8"/>
        <v>80.198681224276115</v>
      </c>
      <c r="L33" s="18">
        <f t="shared" si="6"/>
        <v>291.94215111274218</v>
      </c>
      <c r="M33" s="18">
        <f t="shared" si="7"/>
        <v>99.92468214853028</v>
      </c>
      <c r="N33" s="74"/>
      <c r="O33" s="74"/>
      <c r="P33" s="70"/>
      <c r="Q33" s="67"/>
      <c r="R33" s="66">
        <f>M33*(D33-$D$20)</f>
        <v>3761.7325446551226</v>
      </c>
      <c r="S33" s="66">
        <f t="shared" si="3"/>
        <v>20685.156861724634</v>
      </c>
      <c r="U33" s="82">
        <v>0.81616254907840946</v>
      </c>
      <c r="V33" s="82" t="s">
        <v>23</v>
      </c>
    </row>
    <row r="34" spans="1:22" x14ac:dyDescent="0.25">
      <c r="A34" s="1">
        <v>11</v>
      </c>
      <c r="B34" s="1" t="s">
        <v>11</v>
      </c>
      <c r="C34" s="77">
        <v>37.645679363418935</v>
      </c>
      <c r="D34" s="3">
        <f t="shared" si="4"/>
        <v>310.79567936341891</v>
      </c>
      <c r="E34" s="76">
        <v>5.4988377339891557</v>
      </c>
      <c r="F34" s="78">
        <v>0.18383745092159098</v>
      </c>
      <c r="G34" s="78">
        <v>0.81616254907840946</v>
      </c>
      <c r="H34" s="78">
        <v>0</v>
      </c>
      <c r="I34" s="3">
        <f t="shared" si="5"/>
        <v>291.97283968170944</v>
      </c>
      <c r="J34" s="1">
        <v>187.5</v>
      </c>
      <c r="K34" s="4">
        <f t="shared" si="8"/>
        <v>80.198681224276115</v>
      </c>
      <c r="L34" s="18">
        <f t="shared" si="6"/>
        <v>291.94215111274218</v>
      </c>
      <c r="M34" s="18">
        <f t="shared" si="7"/>
        <v>99.92468214853028</v>
      </c>
      <c r="N34" s="74"/>
      <c r="O34" s="74"/>
      <c r="P34" s="70"/>
      <c r="Q34" s="67"/>
      <c r="R34" s="66">
        <f t="shared" ref="R34" si="9">M34*(D34-$D$20)</f>
        <v>3761.7325446551226</v>
      </c>
      <c r="S34" s="66">
        <f t="shared" si="3"/>
        <v>20685.156861724634</v>
      </c>
      <c r="U34" s="82">
        <v>0</v>
      </c>
      <c r="V34" s="82" t="s">
        <v>24</v>
      </c>
    </row>
    <row r="35" spans="1:22" x14ac:dyDescent="0.25">
      <c r="A35" s="1">
        <v>12</v>
      </c>
      <c r="B35" s="1" t="s">
        <v>11</v>
      </c>
      <c r="C35" s="77">
        <v>45.114108710372932</v>
      </c>
      <c r="D35" s="3">
        <f t="shared" si="4"/>
        <v>318.26410871037291</v>
      </c>
      <c r="E35" s="76">
        <v>23.642682326303682</v>
      </c>
      <c r="F35" s="78">
        <v>1.8542191593732282E-3</v>
      </c>
      <c r="G35" s="78">
        <v>0.49508688535711376</v>
      </c>
      <c r="H35" s="78">
        <v>0.50305889548351301</v>
      </c>
      <c r="I35" s="3">
        <f t="shared" si="5"/>
        <v>295.70705435518641</v>
      </c>
      <c r="J35" s="1">
        <v>187.5</v>
      </c>
      <c r="K35" s="4">
        <f t="shared" si="8"/>
        <v>81.000485395438602</v>
      </c>
      <c r="L35" s="18">
        <f t="shared" si="6"/>
        <v>292.99849820359339</v>
      </c>
      <c r="M35" s="18">
        <f t="shared" si="7"/>
        <v>187.84544500385232</v>
      </c>
      <c r="N35" s="74"/>
      <c r="O35" s="74"/>
      <c r="P35" s="70"/>
      <c r="Q35" s="67"/>
      <c r="R35" s="66">
        <f>M35*(D35-$D$20)</f>
        <v>8474.4798266521739</v>
      </c>
      <c r="S35" s="66">
        <f>R35*E35</f>
        <v>200359.43442220642</v>
      </c>
    </row>
    <row r="36" spans="1:22" x14ac:dyDescent="0.25">
      <c r="A36" s="59">
        <v>13</v>
      </c>
      <c r="B36" s="59" t="s">
        <v>12</v>
      </c>
      <c r="C36" s="79">
        <v>45.124084580926265</v>
      </c>
      <c r="D36" s="60">
        <f t="shared" si="4"/>
        <v>318.27408458092623</v>
      </c>
      <c r="E36" s="80">
        <v>11.506292880040514</v>
      </c>
      <c r="F36" s="81">
        <v>3.8097301446824673E-3</v>
      </c>
      <c r="G36" s="81">
        <v>0.99619026018736678</v>
      </c>
      <c r="H36" s="81">
        <v>0</v>
      </c>
      <c r="I36" s="60">
        <f t="shared" si="5"/>
        <v>295.7120422904631</v>
      </c>
      <c r="J36" s="59">
        <v>187.5</v>
      </c>
      <c r="K36" s="61">
        <f t="shared" si="8"/>
        <v>81.001576779029548</v>
      </c>
      <c r="L36" s="62">
        <f t="shared" si="6"/>
        <v>293.00002670802019</v>
      </c>
      <c r="M36" s="62">
        <f t="shared" si="7"/>
        <v>81.407306249216376</v>
      </c>
      <c r="N36" s="73">
        <f>$N$54*1000*EXP(-$N$55*D36/$N$56)*(1-D36/$N$56)^$N$55</f>
        <v>28577.713192683048</v>
      </c>
      <c r="O36" s="73">
        <f>$G$53*1000*EXP(-$G$54*D36/$G$56)*(1-D36/$G$56)^$G$55</f>
        <v>36394.833710339357</v>
      </c>
      <c r="P36" s="69">
        <v>0</v>
      </c>
      <c r="Q36" s="68">
        <f>N36*F36+O36*G36</f>
        <v>36365.052238795164</v>
      </c>
      <c r="R36" s="68">
        <f>M36*(D36-$D$20)+Q36</f>
        <v>40038.482411490171</v>
      </c>
      <c r="S36" s="68">
        <f t="shared" si="3"/>
        <v>460694.5050989567</v>
      </c>
    </row>
    <row r="37" spans="1:22" x14ac:dyDescent="0.25">
      <c r="A37" s="1">
        <v>14</v>
      </c>
      <c r="B37" s="1" t="s">
        <v>11</v>
      </c>
      <c r="C37" s="77">
        <v>25</v>
      </c>
      <c r="D37" s="3">
        <f t="shared" si="4"/>
        <v>298.14999999999998</v>
      </c>
      <c r="E37" s="76">
        <v>11.506292880040514</v>
      </c>
      <c r="F37" s="78">
        <v>3.8097301446824673E-3</v>
      </c>
      <c r="G37" s="78">
        <v>0.99619026018736678</v>
      </c>
      <c r="H37" s="78">
        <v>0</v>
      </c>
      <c r="I37" s="3">
        <f t="shared" si="5"/>
        <v>285.64999999999998</v>
      </c>
      <c r="J37" s="1">
        <v>187.5</v>
      </c>
      <c r="K37" s="4">
        <f t="shared" si="8"/>
        <v>78.910559975057438</v>
      </c>
      <c r="L37" s="18">
        <f t="shared" si="6"/>
        <v>290.55413674999988</v>
      </c>
      <c r="M37" s="18">
        <f t="shared" si="7"/>
        <v>79.324255675211234</v>
      </c>
      <c r="N37" s="74"/>
      <c r="O37" s="74"/>
      <c r="P37" s="70"/>
      <c r="Q37" s="74"/>
      <c r="R37" s="66">
        <f>M37*(D37-$D$20)</f>
        <v>1983.1063918802809</v>
      </c>
      <c r="S37" s="66">
        <f t="shared" si="3"/>
        <v>22818.202957254907</v>
      </c>
    </row>
    <row r="38" spans="1:22" x14ac:dyDescent="0.25">
      <c r="A38" s="1">
        <v>15</v>
      </c>
      <c r="B38" s="1" t="s">
        <v>11</v>
      </c>
      <c r="C38" s="77">
        <v>25</v>
      </c>
      <c r="D38" s="3">
        <f t="shared" si="4"/>
        <v>298.14999999999998</v>
      </c>
      <c r="E38" s="76">
        <v>11.506292880040514</v>
      </c>
      <c r="F38" s="78">
        <v>3.8097301446824673E-3</v>
      </c>
      <c r="G38" s="78">
        <v>0.99619026018736678</v>
      </c>
      <c r="H38" s="78">
        <v>0</v>
      </c>
      <c r="I38" s="3">
        <f t="shared" si="5"/>
        <v>285.64999999999998</v>
      </c>
      <c r="J38" s="1">
        <v>187.5</v>
      </c>
      <c r="K38" s="4">
        <f t="shared" si="8"/>
        <v>78.910559975057438</v>
      </c>
      <c r="L38" s="18">
        <f t="shared" si="6"/>
        <v>290.55413674999988</v>
      </c>
      <c r="M38" s="18">
        <f t="shared" si="7"/>
        <v>79.324255675211234</v>
      </c>
      <c r="N38" s="72"/>
      <c r="O38" s="72"/>
      <c r="P38" s="71"/>
      <c r="Q38" s="72"/>
      <c r="R38" s="66">
        <f t="shared" ref="R38:R41" si="10">M38*(D38-$D$20)</f>
        <v>1983.1063918802809</v>
      </c>
      <c r="S38" s="66">
        <f t="shared" si="3"/>
        <v>22818.202957254907</v>
      </c>
    </row>
    <row r="39" spans="1:22" x14ac:dyDescent="0.25">
      <c r="A39" s="1">
        <v>16</v>
      </c>
      <c r="B39" s="1" t="s">
        <v>11</v>
      </c>
      <c r="C39" s="77">
        <v>45.124084580926265</v>
      </c>
      <c r="D39" s="3">
        <f t="shared" si="4"/>
        <v>318.27408458092623</v>
      </c>
      <c r="E39" s="76">
        <v>12.1363996721973</v>
      </c>
      <c r="F39" s="78">
        <v>2.3429567059790474E-7</v>
      </c>
      <c r="G39" s="78">
        <v>1.9999770315372596E-2</v>
      </c>
      <c r="H39" s="78">
        <v>0.98</v>
      </c>
      <c r="I39" s="3">
        <f t="shared" si="5"/>
        <v>295.7120422904631</v>
      </c>
      <c r="J39" s="1">
        <v>187.5</v>
      </c>
      <c r="K39" s="4">
        <f t="shared" si="8"/>
        <v>81.001576779029548</v>
      </c>
      <c r="L39" s="18">
        <f t="shared" si="6"/>
        <v>293.00002670802019</v>
      </c>
      <c r="M39" s="18">
        <f t="shared" si="7"/>
        <v>288.76008303506165</v>
      </c>
      <c r="N39" s="72"/>
      <c r="O39" s="72"/>
      <c r="P39" s="71"/>
      <c r="Q39" s="72"/>
      <c r="R39" s="66">
        <f t="shared" si="10"/>
        <v>13030.034410469409</v>
      </c>
      <c r="S39" s="66">
        <f t="shared" si="3"/>
        <v>158137.70534794047</v>
      </c>
    </row>
    <row r="40" spans="1:22" x14ac:dyDescent="0.25">
      <c r="A40" s="1">
        <v>17</v>
      </c>
      <c r="B40" s="1" t="s">
        <v>11</v>
      </c>
      <c r="C40" s="77">
        <v>45.124084580926265</v>
      </c>
      <c r="D40" s="3">
        <f>C40+273.15</f>
        <v>318.27408458092623</v>
      </c>
      <c r="E40" s="76">
        <v>12.1363996721973</v>
      </c>
      <c r="F40" s="78">
        <v>2.3429567059790474E-7</v>
      </c>
      <c r="G40" s="78">
        <v>1.9999770315372596E-2</v>
      </c>
      <c r="H40" s="78">
        <v>0.98</v>
      </c>
      <c r="I40" s="3">
        <f>(D40+$D$20)/2</f>
        <v>295.7120422904631</v>
      </c>
      <c r="J40" s="1">
        <v>187.5</v>
      </c>
      <c r="K40" s="4">
        <f>$A$57+$B$57*I40+$C$57*I40^2+$D$57*I40^3</f>
        <v>81.001576779029548</v>
      </c>
      <c r="L40" s="18">
        <f>$A$61+$B$61*I40+$C$61*I40^2</f>
        <v>293.00002670802019</v>
      </c>
      <c r="M40" s="18">
        <f>F40*J40+G40*K40+H40*L40</f>
        <v>288.76008303506165</v>
      </c>
      <c r="N40" s="72"/>
      <c r="O40" s="72"/>
      <c r="P40" s="72"/>
      <c r="Q40" s="72"/>
      <c r="R40" s="66">
        <f t="shared" si="10"/>
        <v>13030.034410469409</v>
      </c>
      <c r="S40" s="66">
        <f t="shared" si="3"/>
        <v>158137.70534794047</v>
      </c>
    </row>
    <row r="41" spans="1:22" x14ac:dyDescent="0.25">
      <c r="A41" s="1">
        <v>18</v>
      </c>
      <c r="B41" s="1" t="s">
        <v>11</v>
      </c>
      <c r="C41" s="77">
        <v>45</v>
      </c>
      <c r="D41" s="3">
        <f t="shared" si="4"/>
        <v>318.14999999999998</v>
      </c>
      <c r="E41" s="76">
        <v>13.518540569873203</v>
      </c>
      <c r="F41" s="78">
        <v>0.99678660315262502</v>
      </c>
      <c r="G41" s="78">
        <v>4.6749714150626177E-4</v>
      </c>
      <c r="H41" s="78">
        <v>2.7458997058687415E-3</v>
      </c>
      <c r="I41" s="3">
        <f t="shared" si="5"/>
        <v>295.64999999999998</v>
      </c>
      <c r="J41" s="1">
        <v>187.5</v>
      </c>
      <c r="K41" s="4">
        <f t="shared" ref="K41" si="11">$A$57+$B$57*I41+$C$57*I41^2+$D$57*I41^3</f>
        <v>80.988005503573376</v>
      </c>
      <c r="L41" s="18">
        <f t="shared" ref="L41" si="12">$A$61+$B$61*I41+$C$61*I41^2</f>
        <v>292.98103674999982</v>
      </c>
      <c r="M41" s="18">
        <f t="shared" ref="M41" si="13">F41*J41+G41*K41+H41*L41</f>
        <v>187.73984629482334</v>
      </c>
      <c r="N41" s="72"/>
      <c r="O41" s="72"/>
      <c r="P41" s="72"/>
      <c r="Q41" s="72"/>
      <c r="R41" s="66">
        <f t="shared" si="10"/>
        <v>8448.29308326705</v>
      </c>
      <c r="S41" s="66">
        <f t="shared" si="3"/>
        <v>114208.59279232478</v>
      </c>
      <c r="T41" s="83"/>
    </row>
    <row r="42" spans="1:22" x14ac:dyDescent="0.25">
      <c r="A42" s="129">
        <v>19</v>
      </c>
      <c r="B42" s="129" t="s">
        <v>11</v>
      </c>
      <c r="C42" s="136">
        <v>44.566995134644401</v>
      </c>
      <c r="D42" s="137">
        <f t="shared" ref="D42:D48" si="14">C42+273.15</f>
        <v>317.71699513464438</v>
      </c>
      <c r="E42" s="139">
        <v>13.480312955024024</v>
      </c>
      <c r="F42" s="138">
        <v>0.99685981659189504</v>
      </c>
      <c r="G42" s="138">
        <v>4.6882287487226147E-4</v>
      </c>
      <c r="H42" s="138">
        <v>2.6713605332326961E-3</v>
      </c>
      <c r="I42" s="130">
        <f>(D42+$D$20)/2</f>
        <v>295.43349756732221</v>
      </c>
      <c r="J42" s="129">
        <v>187.5</v>
      </c>
      <c r="K42" s="131">
        <f>$A$57+$B$57*I42+$C$57*I42^2+$D$57*I42^3</f>
        <v>80.940713156496798</v>
      </c>
      <c r="L42" s="132">
        <f>$A$61+$B$61*I42+$C$61*I42^2</f>
        <v>292.91514942316564</v>
      </c>
      <c r="M42" s="132">
        <f t="shared" ref="M42:M48" si="15">F42*J42+G42*K42+H42*L42</f>
        <v>187.73164443857155</v>
      </c>
      <c r="N42" s="133"/>
      <c r="O42" s="134"/>
      <c r="P42" s="134"/>
      <c r="Q42" s="135"/>
      <c r="R42" s="135">
        <f t="shared" ref="R42" si="16">M42*(D42-$D$20)</f>
        <v>8366.6352843126115</v>
      </c>
      <c r="S42" s="135">
        <f t="shared" ref="S42" si="17">R42*E42</f>
        <v>112784.8620130804</v>
      </c>
      <c r="U42" s="82">
        <v>3.8227614849178693E-2</v>
      </c>
      <c r="V42" s="82" t="s">
        <v>81</v>
      </c>
    </row>
    <row r="43" spans="1:22" x14ac:dyDescent="0.25">
      <c r="A43" s="129">
        <v>19</v>
      </c>
      <c r="B43" s="129" t="s">
        <v>12</v>
      </c>
      <c r="C43" s="136">
        <v>44.566995134644401</v>
      </c>
      <c r="D43" s="137">
        <f t="shared" si="14"/>
        <v>317.71699513464438</v>
      </c>
      <c r="E43" s="139">
        <v>3.8227614849178693E-2</v>
      </c>
      <c r="F43" s="138">
        <v>0.97096913905586713</v>
      </c>
      <c r="G43" s="138">
        <v>2.9030860944146177E-2</v>
      </c>
      <c r="H43" s="138">
        <v>0</v>
      </c>
      <c r="I43" s="130">
        <f t="shared" ref="I43" si="18">(D43+$D$20)/2</f>
        <v>295.43349756732221</v>
      </c>
      <c r="J43" s="129">
        <v>187.5</v>
      </c>
      <c r="K43" s="131">
        <f t="shared" ref="K43" si="19">$A$57+$B$57*I43+$C$57*I43^2+$D$57*I43^3</f>
        <v>80.940713156496798</v>
      </c>
      <c r="L43" s="132">
        <f t="shared" ref="L43" si="20">$A$61+$B$61*I43+$C$61*I43^2</f>
        <v>292.91514942316564</v>
      </c>
      <c r="M43" s="132">
        <f t="shared" si="15"/>
        <v>184.40649216134139</v>
      </c>
      <c r="N43" s="133">
        <f>$N$54*1000*EXP(-$N$55*D43/$N$56)*(1-D43/$N$56)^$N$55</f>
        <v>28612.715348188678</v>
      </c>
      <c r="O43" s="134">
        <f>$G$53*1000*EXP(-$G$54*D43/$G$56)*(1-D43/$G$56)^$G$55</f>
        <v>36426.77166691453</v>
      </c>
      <c r="P43" s="82">
        <v>0</v>
      </c>
      <c r="Q43" s="135">
        <f>N43*F43+O43*G43</f>
        <v>28839.564130587718</v>
      </c>
      <c r="R43" s="135">
        <f>M43*(D43-$D$20)+Q43</f>
        <v>37058.00736953906</v>
      </c>
      <c r="S43" s="135">
        <f t="shared" ref="S43:S48" si="21">R43*E43</f>
        <v>1416.6392328007648</v>
      </c>
      <c r="U43" s="82">
        <v>0.97096913905586713</v>
      </c>
      <c r="V43" s="82" t="s">
        <v>22</v>
      </c>
    </row>
    <row r="44" spans="1:22" x14ac:dyDescent="0.25">
      <c r="A44" s="59">
        <v>20</v>
      </c>
      <c r="B44" s="59" t="s">
        <v>12</v>
      </c>
      <c r="C44" s="79">
        <v>45.043752878237385</v>
      </c>
      <c r="D44" s="60">
        <f t="shared" si="14"/>
        <v>318.19375287823738</v>
      </c>
      <c r="E44" s="80">
        <v>13.493087801131564</v>
      </c>
      <c r="F44" s="81">
        <v>0.99724955211397581</v>
      </c>
      <c r="G44" s="81">
        <v>2.7504509284019549E-3</v>
      </c>
      <c r="H44" s="81">
        <v>0</v>
      </c>
      <c r="I44" s="60">
        <f>(D44+$D$20)/2</f>
        <v>295.67187643911871</v>
      </c>
      <c r="J44" s="59">
        <v>187.5</v>
      </c>
      <c r="K44" s="61">
        <f>$A$57+$B$57*I44+$C$57*I44^2+$D$57*I44^3</f>
        <v>80.992789846736244</v>
      </c>
      <c r="L44" s="62">
        <f>$A$61+$B$61*I44+$C$61*I44^2</f>
        <v>292.98772717371924</v>
      </c>
      <c r="M44" s="62">
        <f t="shared" si="15"/>
        <v>187.20705771539829</v>
      </c>
      <c r="N44" s="128">
        <f>$N$54*1000*EXP(-$N$55*D44/$N$56)*(1-D44/$N$56)^$N$55</f>
        <v>28582.76276271576</v>
      </c>
      <c r="O44" s="73">
        <f>$G$53*1000*EXP(-$G$54*D44/$G$56)*(1-D44/$G$56)^$G$55</f>
        <v>36399.44521215916</v>
      </c>
      <c r="P44" s="69">
        <v>0</v>
      </c>
      <c r="Q44" s="68">
        <f>N44*F44+O44*G44</f>
        <v>28604.262251175416</v>
      </c>
      <c r="R44" s="68">
        <f>M44*(D44-$D$20)+Q44</f>
        <v>37036.770695969739</v>
      </c>
      <c r="S44" s="68">
        <f t="shared" si="21"/>
        <v>499740.39887109626</v>
      </c>
      <c r="U44" s="82">
        <v>2.9030860944146177E-2</v>
      </c>
      <c r="V44" s="82" t="s">
        <v>23</v>
      </c>
    </row>
    <row r="45" spans="1:22" x14ac:dyDescent="0.25">
      <c r="A45" s="1">
        <v>21</v>
      </c>
      <c r="B45" s="1" t="s">
        <v>11</v>
      </c>
      <c r="C45" s="77">
        <v>25</v>
      </c>
      <c r="D45" s="3">
        <f t="shared" si="14"/>
        <v>298.14999999999998</v>
      </c>
      <c r="E45" s="76">
        <v>13.493087801131564</v>
      </c>
      <c r="F45" s="78">
        <v>0.99724955211397581</v>
      </c>
      <c r="G45" s="78">
        <v>2.7504509284019549E-3</v>
      </c>
      <c r="H45" s="78">
        <v>0</v>
      </c>
      <c r="I45" s="3">
        <f>(D45+$D$20)/2</f>
        <v>285.64999999999998</v>
      </c>
      <c r="J45" s="1">
        <v>187.5</v>
      </c>
      <c r="K45" s="4">
        <f>$A$57+$B$57*I45+$C$57*I45^2+$D$57*I45^3</f>
        <v>78.910559975057438</v>
      </c>
      <c r="L45" s="18">
        <f>$A$61+$B$61*I45+$C$61*I45^2</f>
        <v>290.55413674999988</v>
      </c>
      <c r="M45" s="18">
        <f t="shared" si="15"/>
        <v>187.2013306443146</v>
      </c>
      <c r="N45" s="75"/>
      <c r="O45" s="75"/>
      <c r="P45" s="75"/>
      <c r="Q45" s="75"/>
      <c r="R45" s="66">
        <f t="shared" ref="R45:R48" si="22">M45*(D45-$D$20)</f>
        <v>4680.0332661078646</v>
      </c>
      <c r="S45" s="66">
        <f t="shared" si="21"/>
        <v>63148.099771809939</v>
      </c>
      <c r="U45" s="82">
        <v>0</v>
      </c>
      <c r="V45" s="82" t="s">
        <v>24</v>
      </c>
    </row>
    <row r="46" spans="1:22" x14ac:dyDescent="0.25">
      <c r="A46" s="1">
        <v>22</v>
      </c>
      <c r="B46" s="1" t="s">
        <v>11</v>
      </c>
      <c r="C46" s="77">
        <v>25</v>
      </c>
      <c r="D46" s="3">
        <f t="shared" si="14"/>
        <v>298.14999999999998</v>
      </c>
      <c r="E46" s="76">
        <v>13.493087801131564</v>
      </c>
      <c r="F46" s="78">
        <v>0.99724955211397581</v>
      </c>
      <c r="G46" s="78">
        <v>2.7504509284019549E-3</v>
      </c>
      <c r="H46" s="78">
        <v>0</v>
      </c>
      <c r="I46" s="3">
        <f>(D46+$D$20)/2</f>
        <v>285.64999999999998</v>
      </c>
      <c r="J46" s="1">
        <v>187.5</v>
      </c>
      <c r="K46" s="4">
        <f>$A$57+$B$57*I46+$C$57*I46^2+$D$57*I46^3</f>
        <v>78.910559975057438</v>
      </c>
      <c r="L46" s="18">
        <f>$A$61+$B$61*I46+$C$61*I46^2</f>
        <v>290.55413674999988</v>
      </c>
      <c r="M46" s="18">
        <f t="shared" si="15"/>
        <v>187.2013306443146</v>
      </c>
      <c r="N46" s="75"/>
      <c r="O46" s="75"/>
      <c r="P46" s="75"/>
      <c r="Q46" s="75"/>
      <c r="R46" s="66">
        <f t="shared" si="22"/>
        <v>4680.0332661078646</v>
      </c>
      <c r="S46" s="66">
        <f t="shared" si="21"/>
        <v>63148.099771809939</v>
      </c>
    </row>
    <row r="47" spans="1:22" x14ac:dyDescent="0.25">
      <c r="A47" s="1">
        <v>23</v>
      </c>
      <c r="B47" s="1" t="s">
        <v>11</v>
      </c>
      <c r="C47" s="77">
        <v>45.043752878237385</v>
      </c>
      <c r="D47" s="3">
        <f t="shared" si="14"/>
        <v>318.19375287823738</v>
      </c>
      <c r="E47" s="76">
        <v>2.5279190720537865E-2</v>
      </c>
      <c r="F47" s="78">
        <v>0.74968562709155373</v>
      </c>
      <c r="G47" s="78">
        <v>3.1437214927404467E-4</v>
      </c>
      <c r="H47" s="78">
        <v>0.25</v>
      </c>
      <c r="I47" s="3">
        <f>(D47+$D$20)/2</f>
        <v>295.67187643911871</v>
      </c>
      <c r="J47" s="1">
        <v>187.5</v>
      </c>
      <c r="K47" s="4">
        <f>$A$57+$B$57*I47+$C$57*I47^2+$D$57*I47^3</f>
        <v>80.992789846736244</v>
      </c>
      <c r="L47" s="18">
        <f>$A$61+$B$61*I47+$C$61*I47^2</f>
        <v>292.98772717371924</v>
      </c>
      <c r="M47" s="18">
        <f t="shared" si="15"/>
        <v>213.83844875051594</v>
      </c>
      <c r="N47" s="75"/>
      <c r="O47" s="75"/>
      <c r="P47" s="75"/>
      <c r="Q47" s="75"/>
      <c r="R47" s="66">
        <f t="shared" si="22"/>
        <v>9632.0862413838731</v>
      </c>
      <c r="S47" s="66">
        <f t="shared" si="21"/>
        <v>243.49134513261166</v>
      </c>
    </row>
    <row r="48" spans="1:22" x14ac:dyDescent="0.25">
      <c r="A48" s="1">
        <v>24</v>
      </c>
      <c r="B48" s="1" t="s">
        <v>11</v>
      </c>
      <c r="C48" s="77">
        <v>45.043752878237385</v>
      </c>
      <c r="D48" s="3">
        <f t="shared" si="14"/>
        <v>318.19375287823738</v>
      </c>
      <c r="E48" s="76">
        <v>2.5279190720537865E-2</v>
      </c>
      <c r="F48" s="78">
        <v>0.74968562709155373</v>
      </c>
      <c r="G48" s="78">
        <v>3.1437214927404467E-4</v>
      </c>
      <c r="H48" s="78">
        <v>0.25</v>
      </c>
      <c r="I48" s="3">
        <f>(D48+$D$20)/2</f>
        <v>295.67187643911871</v>
      </c>
      <c r="J48" s="1">
        <v>187.5</v>
      </c>
      <c r="K48" s="4">
        <f>$A$57+$B$57*I48+$C$57*I48^2+$D$57*I48^3</f>
        <v>80.992789846736244</v>
      </c>
      <c r="L48" s="18">
        <f>$A$61+$B$61*I48+$C$61*I48^2</f>
        <v>292.98772717371924</v>
      </c>
      <c r="M48" s="18">
        <f t="shared" si="15"/>
        <v>213.83844875051594</v>
      </c>
      <c r="N48" s="75"/>
      <c r="O48" s="75"/>
      <c r="P48" s="75"/>
      <c r="Q48" s="75"/>
      <c r="R48" s="66">
        <f t="shared" si="22"/>
        <v>9632.0862413838731</v>
      </c>
      <c r="S48" s="66">
        <f t="shared" si="21"/>
        <v>243.49134513261166</v>
      </c>
    </row>
    <row r="50" spans="1:14" ht="15.75" thickBot="1" x14ac:dyDescent="0.3"/>
    <row r="51" spans="1:14" x14ac:dyDescent="0.25">
      <c r="A51" s="6" t="s">
        <v>4</v>
      </c>
      <c r="B51" s="36" t="s">
        <v>17</v>
      </c>
      <c r="C51" s="37"/>
    </row>
    <row r="52" spans="1:14" ht="15.75" thickBot="1" x14ac:dyDescent="0.3">
      <c r="A52" s="7" t="s">
        <v>5</v>
      </c>
      <c r="B52" s="32" t="s">
        <v>18</v>
      </c>
      <c r="C52" s="33"/>
      <c r="F52" s="19" t="s">
        <v>18</v>
      </c>
    </row>
    <row r="53" spans="1:14" ht="15.75" thickBot="1" x14ac:dyDescent="0.3">
      <c r="A53" s="8" t="s">
        <v>6</v>
      </c>
      <c r="B53" s="34" t="s">
        <v>19</v>
      </c>
      <c r="C53" s="35"/>
      <c r="F53" s="6" t="s">
        <v>27</v>
      </c>
      <c r="G53" s="20">
        <v>45.3</v>
      </c>
      <c r="M53" s="19" t="s">
        <v>17</v>
      </c>
    </row>
    <row r="54" spans="1:14" x14ac:dyDescent="0.25">
      <c r="F54" s="21" t="s">
        <v>28</v>
      </c>
      <c r="G54" s="22">
        <v>-0.31</v>
      </c>
      <c r="M54" s="6" t="s">
        <v>27</v>
      </c>
      <c r="N54" s="20">
        <v>46.23</v>
      </c>
    </row>
    <row r="55" spans="1:14" x14ac:dyDescent="0.25">
      <c r="A55" s="12" t="s">
        <v>20</v>
      </c>
      <c r="B55" s="13" t="s">
        <v>21</v>
      </c>
      <c r="F55" s="7" t="s">
        <v>29</v>
      </c>
      <c r="G55" s="22">
        <v>0.42409999999999998</v>
      </c>
      <c r="M55" s="7" t="s">
        <v>29</v>
      </c>
      <c r="N55" s="22">
        <v>0.2893</v>
      </c>
    </row>
    <row r="56" spans="1:14" ht="15.75" thickBot="1" x14ac:dyDescent="0.3">
      <c r="A56" s="14" t="s">
        <v>22</v>
      </c>
      <c r="B56" s="13" t="s">
        <v>23</v>
      </c>
      <c r="C56" s="13" t="s">
        <v>24</v>
      </c>
      <c r="D56" s="13" t="s">
        <v>25</v>
      </c>
      <c r="F56" s="8" t="s">
        <v>30</v>
      </c>
      <c r="G56" s="23">
        <v>512.6</v>
      </c>
      <c r="M56" s="8" t="s">
        <v>30</v>
      </c>
      <c r="N56" s="23">
        <v>497.1</v>
      </c>
    </row>
    <row r="57" spans="1:14" ht="15.75" thickBot="1" x14ac:dyDescent="0.3">
      <c r="A57" s="9">
        <v>112.44039935039999</v>
      </c>
      <c r="B57" s="10">
        <v>-0.43342272763199996</v>
      </c>
      <c r="C57" s="10">
        <v>1.1128675173119997E-3</v>
      </c>
      <c r="D57" s="11">
        <v>-2.26571026608E-8</v>
      </c>
    </row>
    <row r="59" spans="1:14" x14ac:dyDescent="0.25">
      <c r="A59" s="13" t="s">
        <v>19</v>
      </c>
      <c r="B59" s="13" t="s">
        <v>26</v>
      </c>
    </row>
    <row r="60" spans="1:14" ht="15.75" thickBot="1" x14ac:dyDescent="0.3">
      <c r="A60" s="13" t="s">
        <v>22</v>
      </c>
      <c r="B60" s="13" t="s">
        <v>23</v>
      </c>
      <c r="C60" s="13" t="s">
        <v>24</v>
      </c>
    </row>
    <row r="61" spans="1:14" ht="15.75" thickBot="1" x14ac:dyDescent="0.3">
      <c r="A61" s="15">
        <v>753.28</v>
      </c>
      <c r="B61" s="16">
        <v>-3.4195000000000002</v>
      </c>
      <c r="C61" s="17">
        <v>6.3E-3</v>
      </c>
    </row>
  </sheetData>
  <mergeCells count="3">
    <mergeCell ref="F23:H23"/>
    <mergeCell ref="J23:L23"/>
    <mergeCell ref="N23:P23"/>
  </mergeCells>
  <pageMargins left="0.7" right="0.7" top="0.75" bottom="0.75" header="0.3" footer="0.3"/>
  <ignoredErrors>
    <ignoredError sqref="R32 R36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opLeftCell="A16" workbookViewId="0">
      <selection activeCell="K28" sqref="K28"/>
    </sheetView>
  </sheetViews>
  <sheetFormatPr defaultRowHeight="15" x14ac:dyDescent="0.25"/>
  <cols>
    <col min="13" max="13" width="9.28515625" bestFit="1" customWidth="1"/>
    <col min="14" max="14" width="9.5703125" bestFit="1" customWidth="1"/>
    <col min="15" max="17" width="12.5703125" bestFit="1" customWidth="1"/>
    <col min="18" max="18" width="10.5703125" bestFit="1" customWidth="1"/>
  </cols>
  <sheetData>
    <row r="1" spans="1:19" x14ac:dyDescent="0.25">
      <c r="A1" s="13" t="s">
        <v>89</v>
      </c>
      <c r="B1" s="13" t="s">
        <v>90</v>
      </c>
      <c r="C1" s="13"/>
      <c r="D1" s="13" t="s">
        <v>146</v>
      </c>
      <c r="E1" s="13" t="s">
        <v>91</v>
      </c>
      <c r="J1" s="75"/>
      <c r="K1" s="75"/>
      <c r="L1" s="75"/>
    </row>
    <row r="2" spans="1:19" ht="15.75" thickBot="1" x14ac:dyDescent="0.3">
      <c r="A2" s="13"/>
      <c r="B2" s="13" t="s">
        <v>92</v>
      </c>
      <c r="C2" s="13" t="s">
        <v>93</v>
      </c>
      <c r="D2" s="13" t="s">
        <v>145</v>
      </c>
      <c r="E2" s="13"/>
      <c r="J2" t="s">
        <v>68</v>
      </c>
    </row>
    <row r="3" spans="1:19" x14ac:dyDescent="0.25">
      <c r="A3" t="s">
        <v>94</v>
      </c>
      <c r="B3">
        <v>101.325</v>
      </c>
      <c r="C3">
        <v>101.325</v>
      </c>
      <c r="D3">
        <v>5</v>
      </c>
      <c r="E3" t="s">
        <v>95</v>
      </c>
      <c r="G3" s="6" t="s">
        <v>4</v>
      </c>
      <c r="H3" s="36" t="s">
        <v>17</v>
      </c>
      <c r="I3" s="37">
        <v>1</v>
      </c>
      <c r="J3" s="57">
        <v>88.15</v>
      </c>
    </row>
    <row r="4" spans="1:19" x14ac:dyDescent="0.25">
      <c r="A4" t="s">
        <v>96</v>
      </c>
      <c r="B4">
        <v>50</v>
      </c>
      <c r="C4">
        <v>101.325</v>
      </c>
      <c r="D4">
        <v>0</v>
      </c>
      <c r="E4" t="s">
        <v>97</v>
      </c>
      <c r="G4" s="7" t="s">
        <v>5</v>
      </c>
      <c r="H4" s="32" t="s">
        <v>18</v>
      </c>
      <c r="I4" s="33">
        <v>2</v>
      </c>
      <c r="J4" s="57">
        <v>32.04</v>
      </c>
    </row>
    <row r="5" spans="1:19" ht="15.75" thickBot="1" x14ac:dyDescent="0.3">
      <c r="A5" t="s">
        <v>98</v>
      </c>
      <c r="B5">
        <v>2.4500000000000002</v>
      </c>
      <c r="C5">
        <v>101.325</v>
      </c>
      <c r="D5">
        <v>0</v>
      </c>
      <c r="E5" t="s">
        <v>99</v>
      </c>
      <c r="G5" s="8" t="s">
        <v>6</v>
      </c>
      <c r="H5" s="34" t="s">
        <v>19</v>
      </c>
      <c r="I5" s="35">
        <v>3</v>
      </c>
      <c r="J5" s="58">
        <v>236.29</v>
      </c>
    </row>
    <row r="6" spans="1:19" x14ac:dyDescent="0.25">
      <c r="A6" t="s">
        <v>100</v>
      </c>
      <c r="B6">
        <v>2.4500000000000002</v>
      </c>
      <c r="C6">
        <v>101.325</v>
      </c>
      <c r="D6">
        <v>5</v>
      </c>
      <c r="E6" t="s">
        <v>101</v>
      </c>
    </row>
    <row r="7" spans="1:19" x14ac:dyDescent="0.25">
      <c r="A7" t="s">
        <v>102</v>
      </c>
      <c r="B7">
        <v>73.5</v>
      </c>
      <c r="C7">
        <v>101.325</v>
      </c>
      <c r="D7">
        <v>0</v>
      </c>
      <c r="E7" t="s">
        <v>103</v>
      </c>
    </row>
    <row r="8" spans="1:19" x14ac:dyDescent="0.25">
      <c r="A8" t="s">
        <v>104</v>
      </c>
      <c r="B8">
        <v>73.5</v>
      </c>
      <c r="C8">
        <v>101.325</v>
      </c>
      <c r="D8">
        <v>0</v>
      </c>
      <c r="E8" t="s">
        <v>105</v>
      </c>
    </row>
    <row r="10" spans="1:19" x14ac:dyDescent="0.25">
      <c r="A10" s="90" t="s">
        <v>106</v>
      </c>
      <c r="B10" s="90" t="s">
        <v>0</v>
      </c>
      <c r="C10" s="90" t="s">
        <v>107</v>
      </c>
      <c r="D10" s="90" t="s">
        <v>108</v>
      </c>
      <c r="E10" s="90" t="s">
        <v>109</v>
      </c>
      <c r="F10" s="90" t="s">
        <v>68</v>
      </c>
      <c r="G10" s="90" t="s">
        <v>66</v>
      </c>
      <c r="H10" s="90" t="s">
        <v>110</v>
      </c>
      <c r="I10" s="90" t="s">
        <v>111</v>
      </c>
      <c r="J10" s="90" t="s">
        <v>112</v>
      </c>
      <c r="K10" s="90" t="s">
        <v>113</v>
      </c>
      <c r="L10" s="56" t="s">
        <v>69</v>
      </c>
      <c r="M10" s="56" t="s">
        <v>8</v>
      </c>
      <c r="N10" s="90" t="s">
        <v>139</v>
      </c>
      <c r="O10" s="90" t="s">
        <v>140</v>
      </c>
      <c r="P10" s="90" t="s">
        <v>141</v>
      </c>
      <c r="Q10" s="90" t="s">
        <v>65</v>
      </c>
      <c r="R10" s="90" t="s">
        <v>67</v>
      </c>
      <c r="S10" s="90" t="s">
        <v>114</v>
      </c>
    </row>
    <row r="11" spans="1:19" x14ac:dyDescent="0.25">
      <c r="A11" s="52" t="s">
        <v>94</v>
      </c>
      <c r="B11" s="93">
        <v>30.499721154502808</v>
      </c>
      <c r="C11" s="91">
        <v>0.47577271586918651</v>
      </c>
      <c r="D11" s="91">
        <v>0.52422728413081354</v>
      </c>
      <c r="E11" s="91">
        <v>0</v>
      </c>
      <c r="F11" s="94">
        <f t="shared" ref="F11:F16" si="0">C11*$J$3+D11*$J$4+E11*$J$5</f>
        <v>58.735607087420057</v>
      </c>
      <c r="G11" s="94">
        <f>B11*F11</f>
        <v>1791.4196380067506</v>
      </c>
      <c r="H11" s="92">
        <f t="shared" ref="H11:H16" si="1">(C11*$J$3)/F11</f>
        <v>0.71403645903323487</v>
      </c>
      <c r="I11" s="92">
        <f t="shared" ref="I11:I16" si="2">(D11*$J$4)/F11</f>
        <v>0.28596354096676513</v>
      </c>
      <c r="J11" s="92">
        <f t="shared" ref="J11:J16" si="3">(E11*$J$5)/F11</f>
        <v>0</v>
      </c>
      <c r="K11" s="52">
        <f>SUM(H11:J11)</f>
        <v>1</v>
      </c>
      <c r="L11" s="77">
        <v>45</v>
      </c>
      <c r="M11" s="94">
        <f>L11+273.15</f>
        <v>318.14999999999998</v>
      </c>
      <c r="N11" s="104">
        <f>FORECAST(L11,R40:R41,O40:O41)</f>
        <v>713.84</v>
      </c>
      <c r="O11" s="104">
        <f>FORECAST(L11,B37:B38,A37:A38)</f>
        <v>767.5</v>
      </c>
      <c r="P11" s="104">
        <f>FORECAST(L11,H39:H40,D39:D40)</f>
        <v>1266.3100000000002</v>
      </c>
      <c r="Q11" s="94">
        <f>H11*N11+I11*O11+J11*P11</f>
        <v>729.18480360827664</v>
      </c>
      <c r="R11" s="91">
        <f>G11/Q11</f>
        <v>2.4567429671355496</v>
      </c>
      <c r="S11" s="107">
        <f>R11/3600</f>
        <v>6.824286019820971E-4</v>
      </c>
    </row>
    <row r="12" spans="1:19" x14ac:dyDescent="0.25">
      <c r="A12" s="52" t="s">
        <v>96</v>
      </c>
      <c r="B12" s="93">
        <v>5.4988377339891601</v>
      </c>
      <c r="C12" s="91">
        <v>0.18383745092159098</v>
      </c>
      <c r="D12" s="91">
        <v>0.81616254907840946</v>
      </c>
      <c r="E12" s="91">
        <v>0</v>
      </c>
      <c r="F12" s="94">
        <f t="shared" si="0"/>
        <v>42.355119371210485</v>
      </c>
      <c r="G12" s="94">
        <f t="shared" ref="G12:G16" si="4">B12*F12</f>
        <v>232.90392862602744</v>
      </c>
      <c r="H12" s="92">
        <f t="shared" si="1"/>
        <v>0.38260478400996439</v>
      </c>
      <c r="I12" s="92">
        <f t="shared" si="2"/>
        <v>0.61739521599003566</v>
      </c>
      <c r="J12" s="92">
        <f t="shared" si="3"/>
        <v>0</v>
      </c>
      <c r="K12" s="52">
        <f t="shared" ref="K12:K16" si="5">SUM(H12:J12)</f>
        <v>1</v>
      </c>
      <c r="L12" s="77">
        <v>37.645679363418935</v>
      </c>
      <c r="M12" s="94">
        <f t="shared" ref="M12:M16" si="6">L12+273.15</f>
        <v>310.79567936341891</v>
      </c>
      <c r="N12" s="104">
        <f>FORECAST(L12,R39:R40,O39:O40)</f>
        <v>721.83266628750755</v>
      </c>
      <c r="O12" s="104">
        <f>FORECAST(L12,B36:B37,A36:A37)</f>
        <v>774.35432063658106</v>
      </c>
      <c r="P12" s="104">
        <f>FORECAST(L12,H37:H38,D37:D38)</f>
        <v>1270.5430244456068</v>
      </c>
      <c r="Q12" s="94">
        <f t="shared" ref="Q12:Q16" si="7">H12*N12+I12*O12+J12*P12</f>
        <v>754.25928441850783</v>
      </c>
      <c r="R12" s="91">
        <f t="shared" ref="R12:R16" si="8">G12/Q12</f>
        <v>0.30878496750037815</v>
      </c>
      <c r="S12" s="107">
        <f t="shared" ref="S12:S16" si="9">R12/3600</f>
        <v>8.577360208343837E-5</v>
      </c>
    </row>
    <row r="13" spans="1:19" x14ac:dyDescent="0.25">
      <c r="A13" s="52" t="s">
        <v>98</v>
      </c>
      <c r="B13" s="93">
        <v>11.506292880040514</v>
      </c>
      <c r="C13" s="91">
        <v>3.8097301446824673E-3</v>
      </c>
      <c r="D13" s="91">
        <v>0.99619026018736678</v>
      </c>
      <c r="E13" s="91">
        <v>0</v>
      </c>
      <c r="F13" s="94">
        <f t="shared" si="0"/>
        <v>32.253763648656992</v>
      </c>
      <c r="G13" s="94">
        <f t="shared" si="4"/>
        <v>371.12125102505149</v>
      </c>
      <c r="H13" s="92">
        <f t="shared" si="1"/>
        <v>1.0412047285766694E-2</v>
      </c>
      <c r="I13" s="92">
        <f t="shared" si="2"/>
        <v>0.98958795271423328</v>
      </c>
      <c r="J13" s="92">
        <f t="shared" si="3"/>
        <v>0</v>
      </c>
      <c r="K13" s="52">
        <f t="shared" si="5"/>
        <v>1</v>
      </c>
      <c r="L13" s="77">
        <v>25</v>
      </c>
      <c r="M13" s="94">
        <f t="shared" si="6"/>
        <v>298.14999999999998</v>
      </c>
      <c r="N13" s="104">
        <f>FORECAST(L13,R36:R37,O36:O37)</f>
        <v>735.34</v>
      </c>
      <c r="O13" s="104">
        <f>FORECAST(L13,B35:B36,A35:A36)</f>
        <v>786.5</v>
      </c>
      <c r="P13" s="104">
        <v>1277</v>
      </c>
      <c r="Q13" s="94">
        <f t="shared" si="7"/>
        <v>785.9673196608602</v>
      </c>
      <c r="R13" s="91">
        <f t="shared" si="8"/>
        <v>0.47218407399583473</v>
      </c>
      <c r="S13" s="107">
        <f t="shared" si="9"/>
        <v>1.3116224277662076E-4</v>
      </c>
    </row>
    <row r="14" spans="1:19" x14ac:dyDescent="0.25">
      <c r="A14" s="52" t="s">
        <v>100</v>
      </c>
      <c r="B14" s="93">
        <v>12.1363996721973</v>
      </c>
      <c r="C14" s="91">
        <v>2.3429567059790474E-7</v>
      </c>
      <c r="D14" s="91">
        <v>1.9999770315372596E-2</v>
      </c>
      <c r="E14" s="91">
        <v>0.98</v>
      </c>
      <c r="F14" s="94">
        <f t="shared" si="0"/>
        <v>232.2050132940679</v>
      </c>
      <c r="G14" s="94">
        <f t="shared" si="4"/>
        <v>2818.1328472246951</v>
      </c>
      <c r="H14" s="92">
        <f t="shared" si="1"/>
        <v>8.8943658322526531E-8</v>
      </c>
      <c r="I14" s="92">
        <f t="shared" si="2"/>
        <v>2.7595986486864889E-3</v>
      </c>
      <c r="J14" s="92">
        <f t="shared" si="3"/>
        <v>0.99724031240765521</v>
      </c>
      <c r="K14" s="52">
        <f t="shared" si="5"/>
        <v>1</v>
      </c>
      <c r="L14" s="77">
        <v>45.124084580926265</v>
      </c>
      <c r="M14" s="94">
        <f t="shared" si="6"/>
        <v>318.27408458092623</v>
      </c>
      <c r="N14" s="104">
        <f>FORECAST(L14,R41:R42,O41:O42)</f>
        <v>713.70623682176142</v>
      </c>
      <c r="O14" s="104">
        <f>FORECAST(L14,B37:B38,A37:A38)</f>
        <v>767.38832387716639</v>
      </c>
      <c r="P14" s="104">
        <f>FORECAST(L14,H39:H40,D39:D40)</f>
        <v>1266.2355492514444</v>
      </c>
      <c r="Q14" s="94">
        <f t="shared" si="7"/>
        <v>1264.858881978422</v>
      </c>
      <c r="R14" s="91">
        <f t="shared" si="8"/>
        <v>2.2280215503698946</v>
      </c>
      <c r="S14" s="107">
        <f t="shared" si="9"/>
        <v>6.1889487510274844E-4</v>
      </c>
    </row>
    <row r="15" spans="1:19" x14ac:dyDescent="0.25">
      <c r="A15" s="52" t="s">
        <v>102</v>
      </c>
      <c r="B15" s="93">
        <v>13.493087801131564</v>
      </c>
      <c r="C15" s="91">
        <v>0.99724955211397581</v>
      </c>
      <c r="D15" s="91">
        <v>2.7504509284019549E-3</v>
      </c>
      <c r="E15" s="91">
        <v>0</v>
      </c>
      <c r="F15" s="94">
        <f t="shared" si="0"/>
        <v>87.995672466592964</v>
      </c>
      <c r="G15" s="94">
        <f t="shared" si="4"/>
        <v>1187.3333347113542</v>
      </c>
      <c r="H15" s="92">
        <f t="shared" si="1"/>
        <v>0.99899853657258597</v>
      </c>
      <c r="I15" s="92">
        <f t="shared" si="2"/>
        <v>1.0014634274140533E-3</v>
      </c>
      <c r="J15" s="92">
        <f t="shared" si="3"/>
        <v>0</v>
      </c>
      <c r="K15" s="52">
        <f t="shared" si="5"/>
        <v>1</v>
      </c>
      <c r="L15" s="77">
        <v>25</v>
      </c>
      <c r="M15" s="94">
        <f t="shared" si="6"/>
        <v>298.14999999999998</v>
      </c>
      <c r="N15" s="104">
        <f>FORECAST(L15,R36:R37,O36:O37)</f>
        <v>735.34</v>
      </c>
      <c r="O15" s="104">
        <f>FORECAST(L15,B35:B36,A35:A36)</f>
        <v>786.5</v>
      </c>
      <c r="P15" s="104">
        <v>1277</v>
      </c>
      <c r="Q15" s="94">
        <f t="shared" si="7"/>
        <v>735.39123486894653</v>
      </c>
      <c r="R15" s="91">
        <f t="shared" si="8"/>
        <v>1.6145600850450004</v>
      </c>
      <c r="S15" s="107">
        <f t="shared" si="9"/>
        <v>4.4848891251250011E-4</v>
      </c>
    </row>
    <row r="16" spans="1:19" x14ac:dyDescent="0.25">
      <c r="A16" s="52" t="s">
        <v>104</v>
      </c>
      <c r="B16" s="93">
        <v>2.5279190720537865E-2</v>
      </c>
      <c r="C16" s="91">
        <v>0.74968562709155373</v>
      </c>
      <c r="D16" s="91">
        <v>3.1437214927404467E-4</v>
      </c>
      <c r="E16" s="91">
        <v>0.25</v>
      </c>
      <c r="F16" s="94">
        <f t="shared" si="0"/>
        <v>125.16736051178322</v>
      </c>
      <c r="G16" s="94">
        <f t="shared" si="4"/>
        <v>3.164129578363688</v>
      </c>
      <c r="H16" s="92">
        <f t="shared" si="1"/>
        <v>0.52797141169961215</v>
      </c>
      <c r="I16" s="92">
        <f t="shared" si="2"/>
        <v>8.047212645178509E-5</v>
      </c>
      <c r="J16" s="92">
        <f t="shared" si="3"/>
        <v>0.47194811617393601</v>
      </c>
      <c r="K16" s="52">
        <f t="shared" si="5"/>
        <v>1</v>
      </c>
      <c r="L16" s="77">
        <v>45.043752878237385</v>
      </c>
      <c r="M16" s="94">
        <f t="shared" si="6"/>
        <v>318.19375287823738</v>
      </c>
      <c r="N16" s="104">
        <f>FORECAST(L16,R40:R41,O40:O41)</f>
        <v>713.79230936272131</v>
      </c>
      <c r="O16" s="104">
        <f>FORECAST(L16,B37:B38,A37:A38)</f>
        <v>767.46062240958634</v>
      </c>
      <c r="P16" s="104">
        <f>FORECAST(L16,H39:H40,D39:D40)</f>
        <v>1266.2837482730577</v>
      </c>
      <c r="Q16" s="94">
        <f t="shared" si="7"/>
        <v>974.54392196195568</v>
      </c>
      <c r="R16" s="91">
        <f t="shared" si="8"/>
        <v>3.2467798598483379E-3</v>
      </c>
      <c r="S16" s="107">
        <f t="shared" si="9"/>
        <v>9.0188329440231604E-7</v>
      </c>
    </row>
    <row r="17" spans="1:17" x14ac:dyDescent="0.25">
      <c r="B17" s="1"/>
    </row>
    <row r="18" spans="1:17" x14ac:dyDescent="0.25">
      <c r="E18" s="176" t="s">
        <v>149</v>
      </c>
      <c r="F18" s="177"/>
    </row>
    <row r="19" spans="1:17" x14ac:dyDescent="0.25">
      <c r="A19" s="90" t="s">
        <v>106</v>
      </c>
      <c r="B19" s="90" t="s">
        <v>114</v>
      </c>
      <c r="C19" s="90" t="s">
        <v>144</v>
      </c>
      <c r="D19" s="95" t="s">
        <v>152</v>
      </c>
      <c r="E19" s="105" t="s">
        <v>92</v>
      </c>
      <c r="F19" s="106" t="s">
        <v>93</v>
      </c>
      <c r="G19" s="96" t="s">
        <v>145</v>
      </c>
      <c r="H19" s="156" t="s">
        <v>193</v>
      </c>
      <c r="I19" s="156" t="s">
        <v>151</v>
      </c>
      <c r="J19" s="156" t="s">
        <v>150</v>
      </c>
      <c r="K19" s="156" t="s">
        <v>147</v>
      </c>
      <c r="L19" s="156" t="s">
        <v>148</v>
      </c>
    </row>
    <row r="20" spans="1:17" x14ac:dyDescent="0.25">
      <c r="A20" t="s">
        <v>94</v>
      </c>
      <c r="B20" s="108">
        <f t="shared" ref="B20:B25" si="10">S11</f>
        <v>6.824286019820971E-4</v>
      </c>
      <c r="C20">
        <f t="shared" ref="C20:C25" si="11">G11/3600</f>
        <v>0.49761656611298627</v>
      </c>
      <c r="D20" s="83">
        <f t="shared" ref="D20:D25" si="12">Q11</f>
        <v>729.18480360827664</v>
      </c>
      <c r="E20">
        <f>B3*1000</f>
        <v>101325</v>
      </c>
      <c r="F20">
        <f>C3*1000</f>
        <v>101325</v>
      </c>
      <c r="G20">
        <v>5</v>
      </c>
      <c r="H20">
        <v>3.5</v>
      </c>
      <c r="I20">
        <f>(F20-E20)/D20+G20*9.81+H20</f>
        <v>52.550000000000004</v>
      </c>
      <c r="J20" s="154">
        <f>B20*D20*I20</f>
        <v>26.149750549237432</v>
      </c>
      <c r="K20" s="155">
        <v>0.7</v>
      </c>
      <c r="L20">
        <f>J20/K20</f>
        <v>37.356786498910616</v>
      </c>
    </row>
    <row r="21" spans="1:17" x14ac:dyDescent="0.25">
      <c r="A21" t="s">
        <v>96</v>
      </c>
      <c r="B21" s="108">
        <f t="shared" si="10"/>
        <v>8.577360208343837E-5</v>
      </c>
      <c r="C21">
        <f t="shared" si="11"/>
        <v>6.4695535729452067E-2</v>
      </c>
      <c r="D21" s="83">
        <f t="shared" si="12"/>
        <v>754.25928441850783</v>
      </c>
      <c r="E21">
        <f t="shared" ref="E21:F21" si="13">B4*1000</f>
        <v>50000</v>
      </c>
      <c r="F21">
        <f t="shared" si="13"/>
        <v>101325</v>
      </c>
      <c r="G21">
        <v>1</v>
      </c>
      <c r="H21" s="143">
        <v>3.5</v>
      </c>
      <c r="I21">
        <f t="shared" ref="I21:I25" si="14">(F21-E21)/D21+G21*9.81+H21</f>
        <v>81.356891911405157</v>
      </c>
      <c r="J21" s="154">
        <f t="shared" ref="J21:J25" si="15">B21*D21*I21</f>
        <v>5.2634277074914806</v>
      </c>
      <c r="K21" s="155">
        <v>0.7</v>
      </c>
      <c r="L21" s="143">
        <f t="shared" ref="L21:L25" si="16">J21/K21</f>
        <v>7.5191824392735445</v>
      </c>
    </row>
    <row r="22" spans="1:17" x14ac:dyDescent="0.25">
      <c r="A22" t="s">
        <v>98</v>
      </c>
      <c r="B22" s="108">
        <f t="shared" si="10"/>
        <v>1.3116224277662076E-4</v>
      </c>
      <c r="C22">
        <f t="shared" si="11"/>
        <v>0.10308923639584763</v>
      </c>
      <c r="D22" s="83">
        <f t="shared" si="12"/>
        <v>785.9673196608602</v>
      </c>
      <c r="E22">
        <f t="shared" ref="E22:F22" si="17">B5*1000</f>
        <v>2450</v>
      </c>
      <c r="F22">
        <f t="shared" si="17"/>
        <v>101325</v>
      </c>
      <c r="G22">
        <v>1</v>
      </c>
      <c r="H22" s="143">
        <v>3.5</v>
      </c>
      <c r="I22">
        <f t="shared" si="14"/>
        <v>139.1103959282479</v>
      </c>
      <c r="J22" s="154">
        <f t="shared" si="15"/>
        <v>14.34078449096711</v>
      </c>
      <c r="K22" s="155">
        <v>0.7</v>
      </c>
      <c r="L22" s="143">
        <f t="shared" si="16"/>
        <v>20.486834987095872</v>
      </c>
    </row>
    <row r="23" spans="1:17" x14ac:dyDescent="0.25">
      <c r="A23" t="s">
        <v>100</v>
      </c>
      <c r="B23" s="108">
        <f t="shared" si="10"/>
        <v>6.1889487510274844E-4</v>
      </c>
      <c r="C23">
        <f t="shared" si="11"/>
        <v>0.78281467978463748</v>
      </c>
      <c r="D23" s="83">
        <f t="shared" si="12"/>
        <v>1264.858881978422</v>
      </c>
      <c r="E23">
        <f t="shared" ref="E23:F23" si="18">B6*1000</f>
        <v>2450</v>
      </c>
      <c r="F23">
        <f t="shared" si="18"/>
        <v>101325</v>
      </c>
      <c r="G23">
        <v>5</v>
      </c>
      <c r="H23" s="143">
        <v>3.5</v>
      </c>
      <c r="I23">
        <f t="shared" si="14"/>
        <v>130.72077573534941</v>
      </c>
      <c r="J23" s="154">
        <f>B23*D23*I23</f>
        <v>102.33014219846696</v>
      </c>
      <c r="K23" s="155">
        <v>0.7</v>
      </c>
      <c r="L23" s="143">
        <f t="shared" si="16"/>
        <v>146.18591742638137</v>
      </c>
    </row>
    <row r="24" spans="1:17" x14ac:dyDescent="0.25">
      <c r="A24" t="s">
        <v>102</v>
      </c>
      <c r="B24" s="108">
        <f t="shared" si="10"/>
        <v>4.4848891251250011E-4</v>
      </c>
      <c r="C24">
        <f t="shared" si="11"/>
        <v>0.32981481519759837</v>
      </c>
      <c r="D24" s="83">
        <f t="shared" si="12"/>
        <v>735.39123486894653</v>
      </c>
      <c r="E24">
        <f t="shared" ref="E24:F24" si="19">B7*1000</f>
        <v>73500</v>
      </c>
      <c r="F24">
        <f t="shared" si="19"/>
        <v>101325</v>
      </c>
      <c r="G24">
        <v>0.5</v>
      </c>
      <c r="H24" s="143">
        <v>3.5</v>
      </c>
      <c r="I24">
        <f t="shared" si="14"/>
        <v>46.242002510586993</v>
      </c>
      <c r="J24" s="154">
        <f t="shared" si="15"/>
        <v>15.251297512396128</v>
      </c>
      <c r="K24" s="155">
        <v>0.7</v>
      </c>
      <c r="L24" s="143">
        <f t="shared" si="16"/>
        <v>21.787567874851614</v>
      </c>
    </row>
    <row r="25" spans="1:17" x14ac:dyDescent="0.25">
      <c r="A25" t="s">
        <v>104</v>
      </c>
      <c r="B25" s="108">
        <f t="shared" si="10"/>
        <v>9.0188329440231604E-7</v>
      </c>
      <c r="C25">
        <f t="shared" si="11"/>
        <v>8.7892488287880219E-4</v>
      </c>
      <c r="D25" s="83">
        <f t="shared" si="12"/>
        <v>974.54392196195568</v>
      </c>
      <c r="E25">
        <f t="shared" ref="E25:F25" si="20">B8*1000</f>
        <v>73500</v>
      </c>
      <c r="F25">
        <f t="shared" si="20"/>
        <v>101325</v>
      </c>
      <c r="G25">
        <v>2</v>
      </c>
      <c r="H25" s="143">
        <v>3.5</v>
      </c>
      <c r="I25">
        <f t="shared" si="14"/>
        <v>51.671817289037733</v>
      </c>
      <c r="J25" s="154">
        <f t="shared" si="15"/>
        <v>4.5415645958902358E-2</v>
      </c>
      <c r="K25" s="155">
        <v>0.7</v>
      </c>
      <c r="L25" s="143">
        <f t="shared" si="16"/>
        <v>6.487949422700337E-2</v>
      </c>
    </row>
    <row r="31" spans="1:17" x14ac:dyDescent="0.25">
      <c r="B31" s="1"/>
    </row>
    <row r="32" spans="1:17" x14ac:dyDescent="0.25">
      <c r="A32" t="s">
        <v>117</v>
      </c>
      <c r="B32" s="1"/>
      <c r="E32" t="s">
        <v>19</v>
      </c>
      <c r="P32" t="s">
        <v>17</v>
      </c>
      <c r="Q32" t="s">
        <v>142</v>
      </c>
    </row>
    <row r="33" spans="1:18" x14ac:dyDescent="0.25">
      <c r="A33" s="95" t="s">
        <v>115</v>
      </c>
      <c r="E33" t="s">
        <v>118</v>
      </c>
      <c r="F33" t="s">
        <v>119</v>
      </c>
      <c r="G33" t="s">
        <v>120</v>
      </c>
      <c r="P33" t="s">
        <v>118</v>
      </c>
      <c r="Q33" t="s">
        <v>119</v>
      </c>
      <c r="R33" t="s">
        <v>143</v>
      </c>
    </row>
    <row r="34" spans="1:18" ht="15.75" thickBot="1" x14ac:dyDescent="0.3">
      <c r="A34" s="56" t="s">
        <v>69</v>
      </c>
      <c r="B34" s="96" t="s">
        <v>116</v>
      </c>
      <c r="G34" t="s">
        <v>121</v>
      </c>
      <c r="O34">
        <f>P34-273.15</f>
        <v>10</v>
      </c>
      <c r="P34">
        <v>283.14999999999998</v>
      </c>
      <c r="Q34">
        <v>100</v>
      </c>
      <c r="R34">
        <v>750.94</v>
      </c>
    </row>
    <row r="35" spans="1:18" ht="16.5" thickBot="1" x14ac:dyDescent="0.3">
      <c r="A35">
        <v>20</v>
      </c>
      <c r="B35">
        <v>791</v>
      </c>
      <c r="D35" s="101">
        <f>E35-273.15</f>
        <v>24.950000000000045</v>
      </c>
      <c r="E35" s="102">
        <v>298.10000000000002</v>
      </c>
      <c r="F35" s="102">
        <v>101.325</v>
      </c>
      <c r="G35" s="102" t="s">
        <v>137</v>
      </c>
      <c r="H35" s="103">
        <v>1277</v>
      </c>
      <c r="I35" s="97" t="s">
        <v>138</v>
      </c>
      <c r="O35">
        <f t="shared" ref="O35:O42" si="21">P35-273.15</f>
        <v>15</v>
      </c>
      <c r="P35">
        <v>288.14999999999998</v>
      </c>
      <c r="Q35">
        <v>100</v>
      </c>
      <c r="R35">
        <v>745.79</v>
      </c>
    </row>
    <row r="36" spans="1:18" x14ac:dyDescent="0.25">
      <c r="A36">
        <v>30</v>
      </c>
      <c r="B36">
        <v>782</v>
      </c>
      <c r="D36" s="47">
        <f>E36-273.15</f>
        <v>29.850000000000023</v>
      </c>
      <c r="E36" s="49">
        <v>303</v>
      </c>
      <c r="F36" s="49">
        <v>101.325</v>
      </c>
      <c r="G36" s="49" t="s">
        <v>122</v>
      </c>
      <c r="H36" s="48">
        <f>1275.9</f>
        <v>1275.9000000000001</v>
      </c>
      <c r="O36">
        <f t="shared" si="21"/>
        <v>20</v>
      </c>
      <c r="P36">
        <v>293.14999999999998</v>
      </c>
      <c r="Q36">
        <v>100</v>
      </c>
      <c r="R36">
        <v>740.59</v>
      </c>
    </row>
    <row r="37" spans="1:18" x14ac:dyDescent="0.25">
      <c r="A37">
        <v>40</v>
      </c>
      <c r="B37">
        <v>772</v>
      </c>
      <c r="D37" s="50">
        <f t="shared" ref="D37:D48" si="22">E37-273.15</f>
        <v>34.850000000000023</v>
      </c>
      <c r="E37" s="52">
        <v>308</v>
      </c>
      <c r="F37" s="52">
        <v>101.325</v>
      </c>
      <c r="G37" s="52" t="s">
        <v>123</v>
      </c>
      <c r="H37" s="51">
        <v>1272.5</v>
      </c>
      <c r="O37">
        <f t="shared" si="21"/>
        <v>25</v>
      </c>
      <c r="P37">
        <v>298.14999999999998</v>
      </c>
      <c r="Q37">
        <v>100</v>
      </c>
      <c r="R37">
        <v>735.34</v>
      </c>
    </row>
    <row r="38" spans="1:18" x14ac:dyDescent="0.25">
      <c r="A38">
        <v>50</v>
      </c>
      <c r="B38">
        <v>763</v>
      </c>
      <c r="D38" s="50">
        <f t="shared" si="22"/>
        <v>39.850000000000023</v>
      </c>
      <c r="E38" s="52">
        <v>313</v>
      </c>
      <c r="F38" s="52">
        <v>101.325</v>
      </c>
      <c r="G38" s="52" t="s">
        <v>124</v>
      </c>
      <c r="H38" s="51">
        <v>1269</v>
      </c>
      <c r="O38">
        <f t="shared" si="21"/>
        <v>30</v>
      </c>
      <c r="P38">
        <v>303.14999999999998</v>
      </c>
      <c r="Q38">
        <v>100</v>
      </c>
      <c r="R38">
        <v>730.04</v>
      </c>
    </row>
    <row r="39" spans="1:18" x14ac:dyDescent="0.25">
      <c r="D39" s="50">
        <f t="shared" si="22"/>
        <v>44.850000000000023</v>
      </c>
      <c r="E39" s="52">
        <v>318</v>
      </c>
      <c r="F39" s="52">
        <v>101.325</v>
      </c>
      <c r="G39" s="52" t="s">
        <v>125</v>
      </c>
      <c r="H39" s="51">
        <v>1266.4000000000001</v>
      </c>
      <c r="O39">
        <f t="shared" si="21"/>
        <v>35</v>
      </c>
      <c r="P39">
        <v>308.14999999999998</v>
      </c>
      <c r="Q39">
        <v>100</v>
      </c>
      <c r="R39">
        <v>724.69</v>
      </c>
    </row>
    <row r="40" spans="1:18" x14ac:dyDescent="0.25">
      <c r="D40" s="50">
        <f t="shared" si="22"/>
        <v>49.850000000000023</v>
      </c>
      <c r="E40" s="52">
        <v>323</v>
      </c>
      <c r="F40" s="52">
        <v>101.325</v>
      </c>
      <c r="G40" s="52" t="s">
        <v>126</v>
      </c>
      <c r="H40" s="51">
        <v>1263.4000000000001</v>
      </c>
      <c r="O40">
        <f t="shared" si="21"/>
        <v>40</v>
      </c>
      <c r="P40">
        <v>313.14999999999998</v>
      </c>
      <c r="Q40">
        <v>100</v>
      </c>
      <c r="R40">
        <v>719.29</v>
      </c>
    </row>
    <row r="41" spans="1:18" x14ac:dyDescent="0.25">
      <c r="D41" s="50">
        <f t="shared" si="22"/>
        <v>54.850000000000023</v>
      </c>
      <c r="E41" s="52">
        <v>328</v>
      </c>
      <c r="F41" s="52">
        <v>101.325</v>
      </c>
      <c r="G41" s="52" t="s">
        <v>127</v>
      </c>
      <c r="H41" s="51">
        <v>1260.4000000000001</v>
      </c>
      <c r="O41">
        <f t="shared" si="21"/>
        <v>45</v>
      </c>
      <c r="P41">
        <v>318.14999999999998</v>
      </c>
      <c r="Q41">
        <v>100</v>
      </c>
      <c r="R41">
        <v>713.84</v>
      </c>
    </row>
    <row r="42" spans="1:18" x14ac:dyDescent="0.25">
      <c r="D42" s="50">
        <f t="shared" si="22"/>
        <v>59.850000000000023</v>
      </c>
      <c r="E42" s="52">
        <v>333</v>
      </c>
      <c r="F42" s="52">
        <v>101.325</v>
      </c>
      <c r="G42" s="52" t="s">
        <v>128</v>
      </c>
      <c r="H42" s="51">
        <v>1257.4000000000001</v>
      </c>
      <c r="O42">
        <f t="shared" si="21"/>
        <v>50</v>
      </c>
      <c r="P42">
        <v>323.14999999999998</v>
      </c>
      <c r="Q42">
        <v>100</v>
      </c>
      <c r="R42">
        <v>708.45</v>
      </c>
    </row>
    <row r="43" spans="1:18" x14ac:dyDescent="0.25">
      <c r="D43" s="50">
        <f t="shared" si="22"/>
        <v>64.850000000000023</v>
      </c>
      <c r="E43" s="52">
        <v>338</v>
      </c>
      <c r="F43" s="52">
        <v>101.325</v>
      </c>
      <c r="G43" s="52" t="s">
        <v>129</v>
      </c>
      <c r="H43" s="51">
        <v>1254.5</v>
      </c>
    </row>
    <row r="44" spans="1:18" x14ac:dyDescent="0.25">
      <c r="D44" s="50">
        <f t="shared" si="22"/>
        <v>69.850000000000023</v>
      </c>
      <c r="E44" s="52">
        <v>343</v>
      </c>
      <c r="F44" s="52">
        <v>101.325</v>
      </c>
      <c r="G44" s="52" t="s">
        <v>130</v>
      </c>
      <c r="H44" s="51">
        <v>1251.5</v>
      </c>
    </row>
    <row r="45" spans="1:18" x14ac:dyDescent="0.25">
      <c r="D45" s="50">
        <f t="shared" si="22"/>
        <v>74.850000000000023</v>
      </c>
      <c r="E45" s="52">
        <v>348</v>
      </c>
      <c r="F45" s="52">
        <v>101.325</v>
      </c>
      <c r="G45" s="52" t="s">
        <v>131</v>
      </c>
      <c r="H45" s="51">
        <v>1248.5999999999999</v>
      </c>
    </row>
    <row r="46" spans="1:18" x14ac:dyDescent="0.25">
      <c r="D46" s="50">
        <f t="shared" si="22"/>
        <v>79.850000000000023</v>
      </c>
      <c r="E46" s="52">
        <v>353</v>
      </c>
      <c r="F46" s="52">
        <v>101.325</v>
      </c>
      <c r="G46" s="52" t="s">
        <v>132</v>
      </c>
      <c r="H46" s="51">
        <v>1245.7</v>
      </c>
    </row>
    <row r="47" spans="1:18" x14ac:dyDescent="0.25">
      <c r="D47" s="50">
        <f t="shared" si="22"/>
        <v>84.850000000000023</v>
      </c>
      <c r="E47" s="52">
        <v>358</v>
      </c>
      <c r="F47" s="52">
        <v>101.325</v>
      </c>
      <c r="G47" s="52" t="s">
        <v>133</v>
      </c>
      <c r="H47" s="51">
        <v>1242.8</v>
      </c>
    </row>
    <row r="48" spans="1:18" ht="15.75" thickBot="1" x14ac:dyDescent="0.3">
      <c r="D48" s="98">
        <f t="shared" si="22"/>
        <v>89.850000000000023</v>
      </c>
      <c r="E48" s="99">
        <v>363</v>
      </c>
      <c r="F48" s="99">
        <v>101.325</v>
      </c>
      <c r="G48" s="99" t="s">
        <v>134</v>
      </c>
      <c r="H48" s="100">
        <v>1240</v>
      </c>
    </row>
    <row r="50" spans="4:4" x14ac:dyDescent="0.25">
      <c r="D50" t="s">
        <v>136</v>
      </c>
    </row>
    <row r="51" spans="4:4" ht="15.75" x14ac:dyDescent="0.25">
      <c r="D51" s="97" t="s">
        <v>135</v>
      </c>
    </row>
  </sheetData>
  <mergeCells count="1">
    <mergeCell ref="E18:F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zoomScale="85" zoomScaleNormal="85" workbookViewId="0">
      <selection activeCell="I1" sqref="I1"/>
    </sheetView>
  </sheetViews>
  <sheetFormatPr defaultRowHeight="15" x14ac:dyDescent="0.25"/>
  <cols>
    <col min="7" max="10" width="9.7109375" bestFit="1" customWidth="1"/>
  </cols>
  <sheetData>
    <row r="1" spans="1:24" x14ac:dyDescent="0.25">
      <c r="A1" t="s">
        <v>34</v>
      </c>
    </row>
    <row r="4" spans="1:24" ht="15.75" thickBot="1" x14ac:dyDescent="0.3">
      <c r="A4" t="s">
        <v>35</v>
      </c>
      <c r="B4" t="s">
        <v>4</v>
      </c>
    </row>
    <row r="5" spans="1:24" ht="18.75" thickBot="1" x14ac:dyDescent="0.4">
      <c r="A5" t="s">
        <v>36</v>
      </c>
      <c r="B5" t="s">
        <v>5</v>
      </c>
      <c r="E5" s="28" t="s">
        <v>40</v>
      </c>
      <c r="F5" s="30" t="s">
        <v>41</v>
      </c>
      <c r="G5" s="38" t="s">
        <v>44</v>
      </c>
      <c r="H5" s="39" t="s">
        <v>45</v>
      </c>
      <c r="I5" s="38" t="s">
        <v>46</v>
      </c>
      <c r="J5" s="39" t="s">
        <v>47</v>
      </c>
      <c r="K5" s="39" t="s">
        <v>48</v>
      </c>
      <c r="L5" s="40" t="s">
        <v>49</v>
      </c>
      <c r="M5" s="41" t="s">
        <v>50</v>
      </c>
      <c r="N5" s="42" t="s">
        <v>51</v>
      </c>
      <c r="O5" s="41" t="s">
        <v>52</v>
      </c>
      <c r="P5" s="42" t="s">
        <v>53</v>
      </c>
      <c r="Q5" s="43" t="s">
        <v>54</v>
      </c>
      <c r="R5" s="44" t="s">
        <v>55</v>
      </c>
      <c r="S5" s="45" t="s">
        <v>58</v>
      </c>
      <c r="T5" s="45" t="s">
        <v>59</v>
      </c>
      <c r="U5" s="43" t="s">
        <v>56</v>
      </c>
      <c r="V5" s="44" t="s">
        <v>57</v>
      </c>
      <c r="W5" s="43" t="s">
        <v>60</v>
      </c>
      <c r="X5" s="46" t="s">
        <v>61</v>
      </c>
    </row>
    <row r="6" spans="1:24" x14ac:dyDescent="0.25">
      <c r="E6">
        <f>F6-273.15</f>
        <v>37.645679363418935</v>
      </c>
      <c r="F6">
        <v>310.79567936341891</v>
      </c>
      <c r="G6" s="54">
        <f>B8/B11/F6</f>
        <v>0.91850273880439526</v>
      </c>
      <c r="H6" s="54">
        <f>B9/B11/F6</f>
        <v>0.61230935896279903</v>
      </c>
      <c r="I6" s="54">
        <f>EXP(-$B$7*G6)</f>
        <v>0.64940657980305005</v>
      </c>
      <c r="J6" s="54">
        <f>EXP(-$B$7*H6)</f>
        <v>0.7499225093079297</v>
      </c>
      <c r="K6">
        <v>0.18383745092159098</v>
      </c>
      <c r="L6">
        <v>0.81616254907840946</v>
      </c>
      <c r="M6" s="55">
        <f>L6^2*(H6*(J6/(K6+L6*J6))^2+G6*I6/(L6+K6*I6)^2)</f>
        <v>0.8160740502561642</v>
      </c>
      <c r="N6" s="55">
        <f>K6^2*(G6*(I6/(L6+K6*I6))^2+H6*J6/(K6+L6*J6)^2)</f>
        <v>3.9455853340745493E-2</v>
      </c>
      <c r="O6" s="55">
        <f>EXP(M6)</f>
        <v>2.2616034441003574</v>
      </c>
      <c r="P6" s="55">
        <f>EXP(N6)</f>
        <v>1.0402445745484885</v>
      </c>
      <c r="Q6" s="54">
        <f>EXP(C16+D16/(F6+E16))/1000</f>
        <v>55.456167388993499</v>
      </c>
      <c r="R6" s="54">
        <f>EXP(C17+D17/(F6+E17))/1000</f>
        <v>31.734757755997141</v>
      </c>
      <c r="S6" s="54">
        <f>O6*Q6*K6</f>
        <v>23.056867203572644</v>
      </c>
      <c r="T6" s="54">
        <f>P6*R6*L6</f>
        <v>26.943084272992671</v>
      </c>
      <c r="U6" s="53">
        <f>S6/$B$12</f>
        <v>0.46113734407145285</v>
      </c>
      <c r="V6" s="53">
        <f>T6/$B$12</f>
        <v>0.53886168545985347</v>
      </c>
      <c r="W6">
        <f>SUM(U6:V6)</f>
        <v>0.99999902953130637</v>
      </c>
      <c r="X6">
        <f>SUM(S6:T6)</f>
        <v>49.999951476565315</v>
      </c>
    </row>
    <row r="7" spans="1:24" x14ac:dyDescent="0.25">
      <c r="A7" t="s">
        <v>28</v>
      </c>
      <c r="B7">
        <v>0.47</v>
      </c>
    </row>
    <row r="8" spans="1:24" x14ac:dyDescent="0.25">
      <c r="A8" t="s">
        <v>37</v>
      </c>
      <c r="B8">
        <v>2373.37</v>
      </c>
      <c r="C8" t="s">
        <v>38</v>
      </c>
    </row>
    <row r="9" spans="1:24" x14ac:dyDescent="0.25">
      <c r="A9" t="s">
        <v>39</v>
      </c>
      <c r="B9">
        <v>1582.18</v>
      </c>
      <c r="C9" t="s">
        <v>38</v>
      </c>
    </row>
    <row r="11" spans="1:24" x14ac:dyDescent="0.25">
      <c r="A11" t="s">
        <v>42</v>
      </c>
      <c r="B11">
        <v>8.3140000000000001</v>
      </c>
      <c r="C11" t="s">
        <v>43</v>
      </c>
    </row>
    <row r="12" spans="1:24" x14ac:dyDescent="0.25">
      <c r="A12" t="s">
        <v>62</v>
      </c>
      <c r="B12">
        <v>50</v>
      </c>
      <c r="C12" t="s">
        <v>63</v>
      </c>
    </row>
    <row r="14" spans="1:24" ht="15.75" thickBot="1" x14ac:dyDescent="0.3">
      <c r="C14" s="178" t="s">
        <v>64</v>
      </c>
      <c r="D14" s="179"/>
      <c r="E14" s="179"/>
    </row>
    <row r="15" spans="1:24" ht="15.75" thickBot="1" x14ac:dyDescent="0.3">
      <c r="C15" s="15" t="s">
        <v>4</v>
      </c>
      <c r="D15" s="16" t="s">
        <v>5</v>
      </c>
      <c r="E15" s="17" t="s">
        <v>6</v>
      </c>
    </row>
    <row r="16" spans="1:24" x14ac:dyDescent="0.25">
      <c r="A16" s="47" t="s">
        <v>4</v>
      </c>
      <c r="B16" s="48" t="s">
        <v>17</v>
      </c>
      <c r="C16" s="47">
        <v>20.840540000000001</v>
      </c>
      <c r="D16" s="49">
        <v>-2624.5250000000001</v>
      </c>
      <c r="E16" s="48">
        <v>-46.151710000000001</v>
      </c>
    </row>
    <row r="17" spans="1:5" x14ac:dyDescent="0.25">
      <c r="A17" s="50" t="s">
        <v>5</v>
      </c>
      <c r="B17" s="51" t="s">
        <v>18</v>
      </c>
      <c r="C17" s="50">
        <v>23.534700000000001</v>
      </c>
      <c r="D17" s="52">
        <v>-3661.4679999999998</v>
      </c>
      <c r="E17" s="51">
        <v>-32.770009999999999</v>
      </c>
    </row>
  </sheetData>
  <mergeCells count="1">
    <mergeCell ref="C14:E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topLeftCell="A28" zoomScale="70" zoomScaleNormal="70" workbookViewId="0">
      <selection activeCell="S9" sqref="S9"/>
    </sheetView>
  </sheetViews>
  <sheetFormatPr defaultRowHeight="15" x14ac:dyDescent="0.25"/>
  <cols>
    <col min="2" max="2" width="12" bestFit="1" customWidth="1"/>
    <col min="13" max="14" width="10.5703125" bestFit="1" customWidth="1"/>
    <col min="17" max="18" width="11.5703125" bestFit="1" customWidth="1"/>
    <col min="19" max="19" width="12.5703125" bestFit="1" customWidth="1"/>
    <col min="20" max="20" width="14.28515625" bestFit="1" customWidth="1"/>
  </cols>
  <sheetData>
    <row r="1" spans="1:20" ht="15.75" thickBot="1" x14ac:dyDescent="0.3">
      <c r="A1" s="122" t="s">
        <v>70</v>
      </c>
      <c r="B1" s="122" t="s">
        <v>161</v>
      </c>
      <c r="C1" s="109"/>
      <c r="D1" s="110"/>
      <c r="E1" s="110"/>
      <c r="G1" s="159" t="s">
        <v>192</v>
      </c>
      <c r="K1" t="s">
        <v>228</v>
      </c>
    </row>
    <row r="2" spans="1:20" x14ac:dyDescent="0.25">
      <c r="A2" s="114" t="s">
        <v>82</v>
      </c>
      <c r="B2" s="114">
        <f>'EB-VT'!U7*1000</f>
        <v>20570.365987912952</v>
      </c>
      <c r="C2" s="124" t="s">
        <v>74</v>
      </c>
      <c r="D2" s="109"/>
      <c r="E2" s="109"/>
      <c r="F2" s="109"/>
      <c r="G2" s="157">
        <v>2002</v>
      </c>
      <c r="H2" s="114">
        <v>395.6</v>
      </c>
      <c r="K2" t="s">
        <v>229</v>
      </c>
      <c r="L2" t="s">
        <v>232</v>
      </c>
      <c r="M2" t="s">
        <v>231</v>
      </c>
      <c r="N2" t="s">
        <v>233</v>
      </c>
      <c r="O2" t="s">
        <v>234</v>
      </c>
      <c r="P2" t="s">
        <v>235</v>
      </c>
    </row>
    <row r="3" spans="1:20" ht="15.75" thickBot="1" x14ac:dyDescent="0.3">
      <c r="A3" s="115" t="s">
        <v>83</v>
      </c>
      <c r="B3" s="115">
        <f>'EB-VT'!U8*1000</f>
        <v>39656.603175577809</v>
      </c>
      <c r="C3" s="124" t="s">
        <v>75</v>
      </c>
      <c r="D3" s="109"/>
      <c r="E3" s="109"/>
      <c r="F3" s="109"/>
      <c r="G3" s="158">
        <v>2025</v>
      </c>
      <c r="H3" s="116">
        <v>785</v>
      </c>
      <c r="K3" t="s">
        <v>230</v>
      </c>
      <c r="L3">
        <v>1</v>
      </c>
      <c r="M3">
        <v>3</v>
      </c>
      <c r="N3">
        <v>5</v>
      </c>
      <c r="O3">
        <v>1.2E-2</v>
      </c>
      <c r="P3">
        <v>8890</v>
      </c>
    </row>
    <row r="4" spans="1:20" x14ac:dyDescent="0.25">
      <c r="A4" s="115" t="s">
        <v>84</v>
      </c>
      <c r="B4" s="115">
        <f>'EB-VT'!U9*1000</f>
        <v>54582.288461544071</v>
      </c>
      <c r="C4" s="124" t="s">
        <v>76</v>
      </c>
      <c r="D4" s="109"/>
      <c r="E4" s="109"/>
      <c r="G4" t="s">
        <v>204</v>
      </c>
      <c r="H4">
        <v>798.8</v>
      </c>
    </row>
    <row r="5" spans="1:20" x14ac:dyDescent="0.25">
      <c r="A5" s="115" t="s">
        <v>85</v>
      </c>
      <c r="B5" s="115">
        <f>'EB-VT'!U10*1000</f>
        <v>116242.43778463631</v>
      </c>
      <c r="C5" s="124" t="s">
        <v>77</v>
      </c>
      <c r="D5" s="109"/>
      <c r="E5" s="109"/>
      <c r="G5">
        <v>2014</v>
      </c>
      <c r="H5">
        <v>576.1</v>
      </c>
      <c r="K5" t="s">
        <v>236</v>
      </c>
      <c r="L5">
        <f>M3*O3*L3*PI()*P3</f>
        <v>1005.4353128548776</v>
      </c>
      <c r="N5" t="s">
        <v>240</v>
      </c>
      <c r="O5">
        <f>SUM(L5:L8)</f>
        <v>1602.772497382475</v>
      </c>
      <c r="Q5" t="s">
        <v>242</v>
      </c>
      <c r="R5" s="143" t="s">
        <v>243</v>
      </c>
    </row>
    <row r="6" spans="1:20" x14ac:dyDescent="0.25">
      <c r="A6" s="115" t="s">
        <v>86</v>
      </c>
      <c r="B6" s="115">
        <f>'EB-VT'!U11*1000</f>
        <v>121632.30615047271</v>
      </c>
      <c r="C6" s="124" t="s">
        <v>78</v>
      </c>
      <c r="D6" s="109"/>
      <c r="E6" s="109"/>
      <c r="K6" t="s">
        <v>237</v>
      </c>
      <c r="L6">
        <f>0.9*PI()*L3^2*O3*P3</f>
        <v>301.63059385646324</v>
      </c>
      <c r="N6" t="s">
        <v>241</v>
      </c>
      <c r="O6">
        <f>O5*2.20462</f>
        <v>3533.5043031793516</v>
      </c>
      <c r="Q6" s="162">
        <v>53300</v>
      </c>
      <c r="R6" s="163">
        <f>Q6*H3/H5</f>
        <v>72627.148064572117</v>
      </c>
    </row>
    <row r="7" spans="1:20" x14ac:dyDescent="0.25">
      <c r="A7" s="115" t="s">
        <v>87</v>
      </c>
      <c r="B7" s="115">
        <f>'EB-VT'!U12*1000</f>
        <v>107161.77471398546</v>
      </c>
      <c r="C7" s="124" t="s">
        <v>79</v>
      </c>
      <c r="K7" t="s">
        <v>238</v>
      </c>
      <c r="L7">
        <f>30*5</f>
        <v>150</v>
      </c>
    </row>
    <row r="8" spans="1:20" ht="15.75" thickBot="1" x14ac:dyDescent="0.3">
      <c r="A8" s="116" t="s">
        <v>88</v>
      </c>
      <c r="B8" s="116">
        <f>'EB-VT'!U13*1000</f>
        <v>121275.63863869064</v>
      </c>
      <c r="C8" s="125" t="s">
        <v>80</v>
      </c>
      <c r="K8" t="s">
        <v>239</v>
      </c>
      <c r="L8">
        <f>0.1*(L5+L6+L7)</f>
        <v>145.70659067113408</v>
      </c>
    </row>
    <row r="10" spans="1:20" ht="15.75" thickBot="1" x14ac:dyDescent="0.3"/>
    <row r="11" spans="1:20" ht="15.75" thickBot="1" x14ac:dyDescent="0.3">
      <c r="B11" s="180" t="s">
        <v>162</v>
      </c>
      <c r="C11" s="184"/>
      <c r="D11" s="185"/>
      <c r="E11" s="112"/>
      <c r="F11" s="112"/>
      <c r="G11" s="112"/>
      <c r="H11" s="112"/>
      <c r="I11" s="112"/>
      <c r="L11" s="180" t="s">
        <v>167</v>
      </c>
      <c r="M11" s="184"/>
      <c r="N11" s="185"/>
      <c r="O11" s="112"/>
      <c r="P11" s="112"/>
      <c r="Q11" s="112"/>
      <c r="R11" s="112"/>
      <c r="S11" s="112"/>
    </row>
    <row r="12" spans="1:20" ht="15.75" thickBot="1" x14ac:dyDescent="0.3">
      <c r="B12" s="180" t="s">
        <v>153</v>
      </c>
      <c r="C12" s="181"/>
      <c r="D12" s="182"/>
      <c r="E12" s="112"/>
      <c r="F12" s="112"/>
      <c r="G12" s="112"/>
      <c r="H12" s="112"/>
      <c r="I12" s="112"/>
      <c r="L12" s="180"/>
      <c r="M12" s="181"/>
      <c r="N12" s="182"/>
      <c r="O12" s="112"/>
      <c r="P12" s="112"/>
      <c r="Q12" s="112"/>
      <c r="R12" s="112"/>
      <c r="S12" s="112"/>
    </row>
    <row r="13" spans="1:20" ht="15.75" thickBot="1" x14ac:dyDescent="0.3">
      <c r="B13" s="113" t="s">
        <v>154</v>
      </c>
      <c r="C13" s="123" t="s">
        <v>155</v>
      </c>
      <c r="D13" s="119" t="s">
        <v>156</v>
      </c>
      <c r="E13" s="113" t="s">
        <v>157</v>
      </c>
      <c r="F13" s="120" t="s">
        <v>158</v>
      </c>
      <c r="G13" s="113" t="s">
        <v>159</v>
      </c>
      <c r="H13" s="113" t="s">
        <v>160</v>
      </c>
      <c r="I13" s="113" t="s">
        <v>169</v>
      </c>
      <c r="J13" s="21" t="s">
        <v>202</v>
      </c>
      <c r="L13" s="113" t="s">
        <v>154</v>
      </c>
      <c r="M13" s="123" t="s">
        <v>155</v>
      </c>
      <c r="N13" s="119" t="s">
        <v>156</v>
      </c>
      <c r="O13" s="113" t="s">
        <v>157</v>
      </c>
      <c r="P13" s="120" t="s">
        <v>158</v>
      </c>
      <c r="Q13" s="113" t="s">
        <v>159</v>
      </c>
      <c r="R13" s="113" t="s">
        <v>160</v>
      </c>
      <c r="S13" s="113" t="s">
        <v>169</v>
      </c>
      <c r="T13" s="21" t="s">
        <v>202</v>
      </c>
    </row>
    <row r="14" spans="1:20" ht="15.75" thickBot="1" x14ac:dyDescent="0.3">
      <c r="B14" s="121">
        <f>B2</f>
        <v>20570.365987912952</v>
      </c>
      <c r="C14" s="122">
        <f>100*5.6873</f>
        <v>568.7299999999999</v>
      </c>
      <c r="D14" s="117">
        <v>102</v>
      </c>
      <c r="E14" s="122">
        <v>102</v>
      </c>
      <c r="F14" s="126">
        <f>'EB-VT'!S16</f>
        <v>26.742247663522505</v>
      </c>
      <c r="G14" s="122">
        <v>45</v>
      </c>
      <c r="H14" s="121">
        <f>((D14-G14)-(E14-F14))/LN((D14-G14)/(E14-F14))</f>
        <v>65.706649310417745</v>
      </c>
      <c r="I14" s="122">
        <f>B14/C14/H14</f>
        <v>0.55046100686854449</v>
      </c>
      <c r="J14">
        <f>10.7639104167*I14</f>
        <v>5.9251129658194959</v>
      </c>
      <c r="L14" s="121">
        <f>B5</f>
        <v>116242.43778463631</v>
      </c>
      <c r="M14" s="122">
        <v>300</v>
      </c>
      <c r="N14" s="117">
        <v>102</v>
      </c>
      <c r="O14" s="117">
        <v>102</v>
      </c>
      <c r="P14" s="122">
        <f>'EB-VT'!C35</f>
        <v>45.114108710372932</v>
      </c>
      <c r="Q14" s="122">
        <f>'EB-VT'!C36</f>
        <v>45.124084580926265</v>
      </c>
      <c r="R14" s="121">
        <f>((N14-Q14)-(O14-P14))/LN((N14-Q14)/(O14-P14))</f>
        <v>56.880903208538129</v>
      </c>
      <c r="S14" s="122">
        <f>L14/M14/R14</f>
        <v>6.812036566910427</v>
      </c>
      <c r="T14" s="143">
        <f>10.7639104167*S14</f>
        <v>73.324151361508456</v>
      </c>
    </row>
    <row r="16" spans="1:20" ht="15.75" thickBot="1" x14ac:dyDescent="0.3"/>
    <row r="17" spans="2:22" ht="15.75" thickBot="1" x14ac:dyDescent="0.3">
      <c r="B17" s="180" t="s">
        <v>163</v>
      </c>
      <c r="C17" s="184"/>
      <c r="D17" s="185"/>
      <c r="E17" s="112"/>
      <c r="F17" s="112"/>
      <c r="G17" s="112"/>
      <c r="H17" s="112"/>
      <c r="I17" s="112"/>
      <c r="L17" s="180" t="s">
        <v>168</v>
      </c>
      <c r="M17" s="184"/>
      <c r="N17" s="185"/>
      <c r="O17" s="112"/>
      <c r="P17" s="112"/>
      <c r="Q17" s="112"/>
      <c r="R17" s="112"/>
      <c r="S17" s="112"/>
    </row>
    <row r="18" spans="2:22" ht="15.75" thickBot="1" x14ac:dyDescent="0.3">
      <c r="B18" s="180" t="s">
        <v>153</v>
      </c>
      <c r="C18" s="181"/>
      <c r="D18" s="182"/>
      <c r="E18" s="112"/>
      <c r="F18" s="112"/>
      <c r="G18" s="112"/>
      <c r="H18" s="112"/>
      <c r="I18" s="112"/>
      <c r="L18" s="180"/>
      <c r="M18" s="181"/>
      <c r="N18" s="182"/>
      <c r="O18" s="112"/>
      <c r="P18" s="112"/>
      <c r="Q18" s="112"/>
      <c r="R18" s="112"/>
      <c r="S18" s="112"/>
    </row>
    <row r="19" spans="2:22" ht="15.75" thickBot="1" x14ac:dyDescent="0.3">
      <c r="B19" s="113" t="s">
        <v>154</v>
      </c>
      <c r="C19" s="123" t="s">
        <v>155</v>
      </c>
      <c r="D19" s="119" t="s">
        <v>156</v>
      </c>
      <c r="E19" s="113" t="s">
        <v>157</v>
      </c>
      <c r="F19" s="120" t="s">
        <v>158</v>
      </c>
      <c r="G19" s="113" t="s">
        <v>159</v>
      </c>
      <c r="H19" s="113" t="s">
        <v>160</v>
      </c>
      <c r="I19" s="113" t="s">
        <v>169</v>
      </c>
      <c r="J19" s="21" t="s">
        <v>202</v>
      </c>
      <c r="L19" s="113" t="s">
        <v>154</v>
      </c>
      <c r="M19" s="123" t="s">
        <v>155</v>
      </c>
      <c r="N19" s="119" t="s">
        <v>156</v>
      </c>
      <c r="O19" s="113" t="s">
        <v>157</v>
      </c>
      <c r="P19" s="120" t="s">
        <v>158</v>
      </c>
      <c r="Q19" s="113" t="s">
        <v>159</v>
      </c>
      <c r="R19" s="113" t="s">
        <v>160</v>
      </c>
      <c r="S19" s="113" t="s">
        <v>169</v>
      </c>
      <c r="T19" s="21" t="s">
        <v>202</v>
      </c>
    </row>
    <row r="20" spans="2:22" ht="15.75" thickBot="1" x14ac:dyDescent="0.3">
      <c r="B20" s="121">
        <f>B3</f>
        <v>39656.603175577809</v>
      </c>
      <c r="C20" s="122">
        <v>75</v>
      </c>
      <c r="D20" s="117">
        <v>102</v>
      </c>
      <c r="E20" s="122">
        <v>102</v>
      </c>
      <c r="F20" s="118">
        <v>45</v>
      </c>
      <c r="G20" s="122">
        <v>68</v>
      </c>
      <c r="H20" s="121">
        <f>((D20-G20)-(E20-F20))/LN((D20-G20)/(E20-F20))</f>
        <v>44.514054687212827</v>
      </c>
      <c r="I20" s="122">
        <f>B20/C20/H20</f>
        <v>11.878376677278851</v>
      </c>
      <c r="J20" s="143">
        <f>10.7639104167*I20</f>
        <v>127.85778245004816</v>
      </c>
      <c r="L20" s="121">
        <f>B7</f>
        <v>107161.77471398546</v>
      </c>
      <c r="M20" s="122">
        <v>300</v>
      </c>
      <c r="N20" s="117">
        <v>102</v>
      </c>
      <c r="O20" s="117">
        <v>102</v>
      </c>
      <c r="P20" s="122">
        <f>'EB-VT'!C42</f>
        <v>44.566995134644401</v>
      </c>
      <c r="Q20" s="127">
        <f>'EB-VT'!C44</f>
        <v>45.043752878237385</v>
      </c>
      <c r="R20" s="121">
        <f>((N20-Q20)-(O20-P20))/LN((N20-Q20)/(O20-P20))</f>
        <v>57.194294815883971</v>
      </c>
      <c r="S20" s="122">
        <f>L20/M20/R20</f>
        <v>6.2454815967777577</v>
      </c>
      <c r="T20" s="143">
        <f>10.7639104167*S20</f>
        <v>67.22580441686425</v>
      </c>
    </row>
    <row r="22" spans="2:22" ht="15.75" thickBot="1" x14ac:dyDescent="0.3"/>
    <row r="23" spans="2:22" ht="15.75" thickBot="1" x14ac:dyDescent="0.3">
      <c r="B23" s="180" t="s">
        <v>164</v>
      </c>
      <c r="C23" s="184"/>
      <c r="D23" s="185"/>
      <c r="E23" s="112"/>
      <c r="F23" s="112"/>
      <c r="G23" s="112"/>
      <c r="H23" s="112"/>
      <c r="I23" s="112"/>
    </row>
    <row r="24" spans="2:22" ht="15.75" thickBot="1" x14ac:dyDescent="0.3">
      <c r="B24" s="180" t="s">
        <v>153</v>
      </c>
      <c r="C24" s="181"/>
      <c r="D24" s="182"/>
      <c r="E24" s="112"/>
      <c r="F24" s="112"/>
      <c r="G24" s="112"/>
      <c r="H24" s="112"/>
      <c r="I24" s="112"/>
      <c r="L24" s="180" t="s">
        <v>170</v>
      </c>
      <c r="M24" s="181"/>
      <c r="N24" s="183"/>
      <c r="O24" s="140"/>
      <c r="R24" s="180" t="s">
        <v>181</v>
      </c>
      <c r="S24" s="181"/>
      <c r="T24" s="183"/>
      <c r="U24" s="143"/>
    </row>
    <row r="25" spans="2:22" ht="15.75" thickBot="1" x14ac:dyDescent="0.3">
      <c r="B25" s="113" t="s">
        <v>154</v>
      </c>
      <c r="C25" s="123" t="s">
        <v>155</v>
      </c>
      <c r="D25" s="119" t="s">
        <v>156</v>
      </c>
      <c r="E25" s="113" t="s">
        <v>157</v>
      </c>
      <c r="F25" s="120" t="s">
        <v>158</v>
      </c>
      <c r="G25" s="113" t="s">
        <v>159</v>
      </c>
      <c r="H25" s="113" t="s">
        <v>160</v>
      </c>
      <c r="I25" s="113" t="s">
        <v>169</v>
      </c>
      <c r="J25" s="21" t="s">
        <v>202</v>
      </c>
      <c r="L25" s="145" t="s">
        <v>174</v>
      </c>
      <c r="M25" s="145" t="s">
        <v>171</v>
      </c>
      <c r="N25" s="145" t="s">
        <v>172</v>
      </c>
      <c r="O25" s="145" t="s">
        <v>173</v>
      </c>
      <c r="R25" s="146" t="s">
        <v>185</v>
      </c>
      <c r="S25" s="145" t="s">
        <v>182</v>
      </c>
      <c r="T25" s="147" t="s">
        <v>183</v>
      </c>
      <c r="U25" s="145" t="s">
        <v>184</v>
      </c>
    </row>
    <row r="26" spans="2:22" ht="15.75" thickBot="1" x14ac:dyDescent="0.3">
      <c r="B26" s="121">
        <f>B4</f>
        <v>54582.288461544071</v>
      </c>
      <c r="C26" s="122">
        <f>150*5.6873</f>
        <v>853.09499999999991</v>
      </c>
      <c r="D26" s="117">
        <f>'EB-VT'!C32</f>
        <v>45.114108710372932</v>
      </c>
      <c r="E26" s="122">
        <f>'EB-VT'!C33</f>
        <v>37.645679363418935</v>
      </c>
      <c r="F26" s="118">
        <v>15</v>
      </c>
      <c r="G26" s="122">
        <v>35</v>
      </c>
      <c r="H26" s="121">
        <f>((D26-G26)-(E26-F26))/LN((D26-G26)/(E26-F26))</f>
        <v>15.547126701517419</v>
      </c>
      <c r="I26" s="122">
        <f>B26/C26/H26</f>
        <v>4.1153256385693817</v>
      </c>
      <c r="J26" s="143">
        <f>10.7639104167*I26</f>
        <v>44.296996509109547</v>
      </c>
      <c r="L26" s="50">
        <f>B2</f>
        <v>20570.365987912952</v>
      </c>
      <c r="M26" s="52">
        <f>2252*1000</f>
        <v>2252000</v>
      </c>
      <c r="N26" s="52">
        <f>L26/M26</f>
        <v>9.1342655363734239E-3</v>
      </c>
      <c r="O26" s="51">
        <f>N26*1000</f>
        <v>9.1342655363734231</v>
      </c>
      <c r="R26" s="50">
        <f>B3</f>
        <v>39656.603175577809</v>
      </c>
      <c r="S26" s="52">
        <v>4190</v>
      </c>
      <c r="T26" s="52">
        <f>R26/S26/(G26-F26)</f>
        <v>0.47322915483983063</v>
      </c>
      <c r="U26" s="51">
        <f>T26*1000</f>
        <v>473.22915483983064</v>
      </c>
    </row>
    <row r="27" spans="2:22" ht="15.75" thickBot="1" x14ac:dyDescent="0.3">
      <c r="L27" s="145" t="s">
        <v>175</v>
      </c>
      <c r="M27" s="145" t="s">
        <v>171</v>
      </c>
      <c r="N27" s="145" t="s">
        <v>172</v>
      </c>
      <c r="O27" s="145" t="s">
        <v>173</v>
      </c>
      <c r="R27" s="146" t="s">
        <v>186</v>
      </c>
      <c r="S27" s="145" t="s">
        <v>182</v>
      </c>
      <c r="T27" s="147" t="s">
        <v>183</v>
      </c>
      <c r="U27" s="145" t="s">
        <v>184</v>
      </c>
    </row>
    <row r="28" spans="2:22" ht="15.75" thickBot="1" x14ac:dyDescent="0.3">
      <c r="L28" s="50">
        <f>B3</f>
        <v>39656.603175577809</v>
      </c>
      <c r="M28" s="52">
        <f>2252*1000</f>
        <v>2252000</v>
      </c>
      <c r="N28" s="52">
        <f>L28/M28</f>
        <v>1.760950407441288E-2</v>
      </c>
      <c r="O28" s="51">
        <f>N28*1000</f>
        <v>17.609504074412879</v>
      </c>
      <c r="R28" s="50">
        <f>B6</f>
        <v>121632.30615047271</v>
      </c>
      <c r="S28" s="52">
        <v>4190</v>
      </c>
      <c r="T28" s="52">
        <f>R28/S26/(G32-F32)</f>
        <v>1.4514595006022994</v>
      </c>
      <c r="U28" s="51">
        <f>T28*1000</f>
        <v>1451.4595006022994</v>
      </c>
    </row>
    <row r="29" spans="2:22" ht="15.75" thickBot="1" x14ac:dyDescent="0.3">
      <c r="B29" s="180" t="s">
        <v>165</v>
      </c>
      <c r="C29" s="184"/>
      <c r="D29" s="185"/>
      <c r="E29" s="112"/>
      <c r="F29" s="112"/>
      <c r="G29" s="112"/>
      <c r="H29" s="112"/>
      <c r="I29" s="112"/>
      <c r="L29" s="145" t="s">
        <v>176</v>
      </c>
      <c r="M29" s="145" t="s">
        <v>171</v>
      </c>
      <c r="N29" s="145" t="s">
        <v>172</v>
      </c>
      <c r="O29" s="145" t="s">
        <v>173</v>
      </c>
      <c r="R29" s="146" t="s">
        <v>187</v>
      </c>
      <c r="S29" s="145" t="s">
        <v>182</v>
      </c>
      <c r="T29" s="147" t="s">
        <v>183</v>
      </c>
      <c r="U29" s="145" t="s">
        <v>184</v>
      </c>
    </row>
    <row r="30" spans="2:22" ht="15.75" thickBot="1" x14ac:dyDescent="0.3">
      <c r="B30" s="180" t="s">
        <v>153</v>
      </c>
      <c r="C30" s="181"/>
      <c r="D30" s="182"/>
      <c r="E30" s="112"/>
      <c r="F30" s="112"/>
      <c r="G30" s="112"/>
      <c r="H30" s="112"/>
      <c r="I30" s="112"/>
      <c r="L30" s="50">
        <f>B5</f>
        <v>116242.43778463631</v>
      </c>
      <c r="M30" s="52">
        <f>2252*1000</f>
        <v>2252000</v>
      </c>
      <c r="N30" s="52">
        <f>L30/M30</f>
        <v>5.1617423527813636E-2</v>
      </c>
      <c r="O30" s="51">
        <f>N30*1000</f>
        <v>51.617423527813635</v>
      </c>
      <c r="R30" s="98">
        <f>B8</f>
        <v>121275.63863869064</v>
      </c>
      <c r="S30" s="99">
        <v>4190</v>
      </c>
      <c r="T30" s="99">
        <f>R30/S26/(G38-F38)</f>
        <v>1.447203325044041</v>
      </c>
      <c r="U30" s="100">
        <f>T30*1000</f>
        <v>1447.2033250440411</v>
      </c>
    </row>
    <row r="31" spans="2:22" ht="15.75" thickBot="1" x14ac:dyDescent="0.3">
      <c r="B31" s="113" t="s">
        <v>154</v>
      </c>
      <c r="C31" s="123" t="s">
        <v>155</v>
      </c>
      <c r="D31" s="119" t="s">
        <v>156</v>
      </c>
      <c r="E31" s="113" t="s">
        <v>157</v>
      </c>
      <c r="F31" s="120" t="s">
        <v>158</v>
      </c>
      <c r="G31" s="113" t="s">
        <v>159</v>
      </c>
      <c r="H31" s="113" t="s">
        <v>160</v>
      </c>
      <c r="I31" s="113" t="s">
        <v>169</v>
      </c>
      <c r="J31" s="21" t="s">
        <v>202</v>
      </c>
      <c r="L31" s="145" t="s">
        <v>177</v>
      </c>
      <c r="M31" s="145" t="s">
        <v>171</v>
      </c>
      <c r="N31" s="145" t="s">
        <v>172</v>
      </c>
      <c r="O31" s="145" t="s">
        <v>173</v>
      </c>
      <c r="T31" s="144" t="s">
        <v>178</v>
      </c>
      <c r="U31" s="144">
        <f>U26+U28+U30</f>
        <v>3371.8919804861712</v>
      </c>
      <c r="V31" s="145" t="s">
        <v>179</v>
      </c>
    </row>
    <row r="32" spans="2:22" ht="15.75" thickBot="1" x14ac:dyDescent="0.3">
      <c r="B32" s="121">
        <f>B6</f>
        <v>121632.30615047271</v>
      </c>
      <c r="C32" s="122">
        <f>150*5.6873</f>
        <v>853.09499999999991</v>
      </c>
      <c r="D32" s="117">
        <f>'EB-VT'!C36</f>
        <v>45.124084580926265</v>
      </c>
      <c r="E32" s="122">
        <f>'EB-VT'!C37</f>
        <v>25</v>
      </c>
      <c r="F32" s="118">
        <v>15</v>
      </c>
      <c r="G32" s="122">
        <v>35</v>
      </c>
      <c r="H32" s="121">
        <f>((D32-G32)-(E32-F32))/LN((D32-G32)/(E32-F32))</f>
        <v>10.061914772121762</v>
      </c>
      <c r="I32" s="122">
        <f>B32/C32/H32</f>
        <v>14.170034580859813</v>
      </c>
      <c r="J32" s="143">
        <f>10.7639104167*I32</f>
        <v>152.52498282991615</v>
      </c>
      <c r="L32" s="98">
        <f>B7</f>
        <v>107161.77471398546</v>
      </c>
      <c r="M32" s="52">
        <f>2252*1000</f>
        <v>2252000</v>
      </c>
      <c r="N32" s="52">
        <f>L32/M32</f>
        <v>4.758515751065074E-2</v>
      </c>
      <c r="O32" s="51">
        <f>N32*1000</f>
        <v>47.585157510650738</v>
      </c>
      <c r="T32" s="143"/>
      <c r="U32" s="145"/>
      <c r="V32" s="145" t="s">
        <v>180</v>
      </c>
    </row>
    <row r="33" spans="1:20" ht="15.75" thickBot="1" x14ac:dyDescent="0.3">
      <c r="N33" s="144" t="s">
        <v>178</v>
      </c>
      <c r="O33" s="144">
        <f>O26+O28+O30+O32</f>
        <v>125.94635064925066</v>
      </c>
      <c r="P33" s="142" t="s">
        <v>179</v>
      </c>
    </row>
    <row r="34" spans="1:20" ht="15.75" thickBot="1" x14ac:dyDescent="0.3">
      <c r="N34" s="141"/>
      <c r="O34" s="142"/>
      <c r="P34" s="142" t="s">
        <v>180</v>
      </c>
    </row>
    <row r="35" spans="1:20" ht="15.75" thickBot="1" x14ac:dyDescent="0.3">
      <c r="B35" s="180" t="s">
        <v>166</v>
      </c>
      <c r="C35" s="184"/>
      <c r="D35" s="185"/>
      <c r="E35" s="112"/>
      <c r="F35" s="112"/>
      <c r="G35" s="112"/>
      <c r="H35" s="112"/>
      <c r="I35" s="112"/>
      <c r="S35" s="143" t="s">
        <v>201</v>
      </c>
    </row>
    <row r="36" spans="1:20" ht="15.75" thickBot="1" x14ac:dyDescent="0.3">
      <c r="B36" s="180" t="s">
        <v>153</v>
      </c>
      <c r="C36" s="181"/>
      <c r="D36" s="182"/>
      <c r="E36" s="112"/>
      <c r="F36" s="112"/>
      <c r="G36" s="112"/>
      <c r="H36" s="112"/>
      <c r="I36" s="112"/>
      <c r="S36" t="s">
        <v>206</v>
      </c>
    </row>
    <row r="37" spans="1:20" ht="15.75" thickBot="1" x14ac:dyDescent="0.3">
      <c r="B37" s="113" t="s">
        <v>154</v>
      </c>
      <c r="C37" s="123" t="s">
        <v>155</v>
      </c>
      <c r="D37" s="119" t="s">
        <v>156</v>
      </c>
      <c r="E37" s="113" t="s">
        <v>157</v>
      </c>
      <c r="F37" s="120" t="s">
        <v>158</v>
      </c>
      <c r="G37" s="113" t="s">
        <v>159</v>
      </c>
      <c r="H37" s="113" t="s">
        <v>160</v>
      </c>
      <c r="I37" s="113" t="s">
        <v>169</v>
      </c>
      <c r="J37" s="21" t="s">
        <v>202</v>
      </c>
      <c r="R37" s="28" t="s">
        <v>191</v>
      </c>
      <c r="S37" s="29">
        <v>2014</v>
      </c>
      <c r="T37" s="30">
        <v>2025</v>
      </c>
    </row>
    <row r="38" spans="1:20" ht="15.75" thickBot="1" x14ac:dyDescent="0.3">
      <c r="B38" s="121">
        <f>B8</f>
        <v>121275.63863869064</v>
      </c>
      <c r="C38" s="122">
        <f>150*5.6873</f>
        <v>853.09499999999991</v>
      </c>
      <c r="D38" s="117">
        <f>'EB-VT'!C44</f>
        <v>45.043752878237385</v>
      </c>
      <c r="E38" s="122">
        <f>'EB-VT'!C45</f>
        <v>25</v>
      </c>
      <c r="F38" s="118">
        <v>15</v>
      </c>
      <c r="G38" s="122">
        <v>35</v>
      </c>
      <c r="H38" s="121">
        <f>((D38-G38)-(E38-F38))/LN((D38-G38)/(E38-F38))</f>
        <v>10.021860521301424</v>
      </c>
      <c r="I38" s="122">
        <f>B38/C38/H38</f>
        <v>14.184950335104386</v>
      </c>
      <c r="J38" s="143">
        <f>10.7639104167*I38</f>
        <v>152.68553467240224</v>
      </c>
      <c r="R38" t="s">
        <v>162</v>
      </c>
      <c r="S38" s="162">
        <v>6000</v>
      </c>
      <c r="T38" s="162">
        <f>$H$3/$H$5*S38</f>
        <v>8175.6639472313836</v>
      </c>
    </row>
    <row r="39" spans="1:20" ht="15.75" thickBot="1" x14ac:dyDescent="0.3">
      <c r="R39" t="s">
        <v>203</v>
      </c>
      <c r="S39" s="162">
        <v>42400</v>
      </c>
      <c r="T39" s="162">
        <f t="shared" ref="T39:T44" si="0">$H$3/$H$5*S39</f>
        <v>57774.691893768446</v>
      </c>
    </row>
    <row r="40" spans="1:20" ht="15.75" thickBot="1" x14ac:dyDescent="0.3">
      <c r="B40" s="186" t="s">
        <v>106</v>
      </c>
      <c r="C40" s="187"/>
      <c r="D40" s="188"/>
      <c r="R40" t="s">
        <v>164</v>
      </c>
      <c r="S40" s="162">
        <v>22300</v>
      </c>
      <c r="T40" s="162">
        <f t="shared" si="0"/>
        <v>30386.217670543308</v>
      </c>
    </row>
    <row r="41" spans="1:20" ht="15.75" thickBot="1" x14ac:dyDescent="0.3">
      <c r="A41" s="148"/>
      <c r="B41" s="29" t="s">
        <v>114</v>
      </c>
      <c r="C41" s="13" t="s">
        <v>189</v>
      </c>
      <c r="D41" s="150" t="s">
        <v>150</v>
      </c>
      <c r="E41" s="151" t="s">
        <v>188</v>
      </c>
      <c r="F41" s="170" t="s">
        <v>190</v>
      </c>
      <c r="G41" s="150" t="s">
        <v>195</v>
      </c>
      <c r="H41" s="150" t="s">
        <v>196</v>
      </c>
      <c r="I41" s="150" t="s">
        <v>194</v>
      </c>
      <c r="J41" s="150" t="s">
        <v>197</v>
      </c>
      <c r="K41" s="150" t="s">
        <v>200</v>
      </c>
      <c r="L41" s="16"/>
      <c r="M41" s="150" t="s">
        <v>205</v>
      </c>
      <c r="N41" s="17" t="s">
        <v>215</v>
      </c>
      <c r="R41" t="s">
        <v>165</v>
      </c>
      <c r="S41" s="162">
        <v>48500</v>
      </c>
      <c r="T41" s="162">
        <f t="shared" si="0"/>
        <v>66086.616906787021</v>
      </c>
    </row>
    <row r="42" spans="1:20" x14ac:dyDescent="0.25">
      <c r="A42" s="152" t="s">
        <v>94</v>
      </c>
      <c r="B42" s="160">
        <f>cerpadla!B20</f>
        <v>6.824286019820971E-4</v>
      </c>
      <c r="C42" s="154">
        <f>B42*15850.3</f>
        <v>10.816698069996834</v>
      </c>
      <c r="D42" s="52">
        <f>cerpadla!J20</f>
        <v>26.149750549237432</v>
      </c>
      <c r="E42" s="51">
        <f>cerpadla!L20</f>
        <v>37.356786498910616</v>
      </c>
      <c r="F42">
        <f>cerpadla!G20* 3.28084</f>
        <v>16.404199999999999</v>
      </c>
      <c r="G42" s="143">
        <f>(cerpadla!F20)/6.895/1000</f>
        <v>14.69543147208122</v>
      </c>
      <c r="H42" t="s">
        <v>198</v>
      </c>
      <c r="I42" s="154">
        <f>B42*3600</f>
        <v>2.4567429671355496</v>
      </c>
      <c r="J42">
        <f>(cerpadla!F20-cerpadla!E20)/1000</f>
        <v>0</v>
      </c>
      <c r="K42" s="108">
        <f>345*Ekonomika!B42</f>
        <v>0.23543786768382349</v>
      </c>
      <c r="L42">
        <f>C42*G42</f>
        <v>158.95604524183165</v>
      </c>
      <c r="M42" s="162">
        <f>750*1.8</f>
        <v>1350</v>
      </c>
      <c r="N42" s="163">
        <f>M42*$H$3/$H$2</f>
        <v>2678.8422649140543</v>
      </c>
      <c r="R42" t="s">
        <v>166</v>
      </c>
      <c r="S42" s="162">
        <v>48500</v>
      </c>
      <c r="T42" s="162">
        <f t="shared" si="0"/>
        <v>66086.616906787021</v>
      </c>
    </row>
    <row r="43" spans="1:20" x14ac:dyDescent="0.25">
      <c r="A43" s="153" t="s">
        <v>96</v>
      </c>
      <c r="B43" s="160">
        <f>cerpadla!B21</f>
        <v>8.577360208343837E-5</v>
      </c>
      <c r="C43" s="154">
        <f t="shared" ref="C43:C47" si="1">B43*15850.3</f>
        <v>1.3595373251031231</v>
      </c>
      <c r="D43" s="52">
        <f>cerpadla!J21</f>
        <v>5.2634277074914806</v>
      </c>
      <c r="E43" s="51">
        <f>cerpadla!L21</f>
        <v>7.5191824392735445</v>
      </c>
      <c r="F43" s="143">
        <f>cerpadla!G21* 3.28084</f>
        <v>3.28084</v>
      </c>
      <c r="G43" s="143">
        <f>(cerpadla!F21)/6.895/1000</f>
        <v>14.69543147208122</v>
      </c>
      <c r="H43" s="143" t="s">
        <v>198</v>
      </c>
      <c r="I43" s="154">
        <f t="shared" ref="I43:I47" si="2">B43*3600</f>
        <v>0.30878496750037815</v>
      </c>
      <c r="J43" s="143">
        <f>(cerpadla!F21-cerpadla!E21)/1000</f>
        <v>51.325000000000003</v>
      </c>
      <c r="K43" s="108">
        <f>345*Ekonomika!B43</f>
        <v>2.9591892718786237E-2</v>
      </c>
      <c r="L43" s="143">
        <f t="shared" ref="L43:L47" si="3">C43*G43</f>
        <v>19.978987594789551</v>
      </c>
      <c r="M43" s="162">
        <f>750*1.8</f>
        <v>1350</v>
      </c>
      <c r="N43" s="163">
        <f t="shared" ref="N43:N47" si="4">M43*$H$3/$H$2</f>
        <v>2678.8422649140543</v>
      </c>
      <c r="R43" t="s">
        <v>167</v>
      </c>
      <c r="S43" s="162">
        <v>416200</v>
      </c>
      <c r="T43" s="162">
        <f t="shared" si="0"/>
        <v>567118.55580628361</v>
      </c>
    </row>
    <row r="44" spans="1:20" x14ac:dyDescent="0.25">
      <c r="A44" s="153" t="s">
        <v>98</v>
      </c>
      <c r="B44" s="160">
        <f>cerpadla!B22</f>
        <v>1.3116224277662076E-4</v>
      </c>
      <c r="C44" s="154">
        <f t="shared" si="1"/>
        <v>2.0789608966822719</v>
      </c>
      <c r="D44" s="52">
        <f>cerpadla!J22</f>
        <v>14.34078449096711</v>
      </c>
      <c r="E44" s="51">
        <f>cerpadla!L22</f>
        <v>20.486834987095872</v>
      </c>
      <c r="F44" s="143">
        <f>cerpadla!G22* 3.28084</f>
        <v>3.28084</v>
      </c>
      <c r="G44" s="143">
        <f>(cerpadla!F22)/6.895/1000</f>
        <v>14.69543147208122</v>
      </c>
      <c r="H44" s="143" t="s">
        <v>198</v>
      </c>
      <c r="I44" s="154">
        <f t="shared" si="2"/>
        <v>0.47218407399583473</v>
      </c>
      <c r="J44" s="143">
        <f>(cerpadla!F22-cerpadla!E22)/1000</f>
        <v>98.875</v>
      </c>
      <c r="K44" s="108">
        <f>345*Ekonomika!B44</f>
        <v>4.525097375793416E-2</v>
      </c>
      <c r="L44" s="143">
        <f t="shared" si="3"/>
        <v>30.551227390330851</v>
      </c>
      <c r="M44" s="162">
        <f>750*1.8</f>
        <v>1350</v>
      </c>
      <c r="N44" s="163">
        <f t="shared" si="4"/>
        <v>2678.8422649140543</v>
      </c>
      <c r="R44" t="s">
        <v>168</v>
      </c>
      <c r="S44" s="162">
        <v>384900</v>
      </c>
      <c r="T44" s="162">
        <f t="shared" si="0"/>
        <v>524468.84221489332</v>
      </c>
    </row>
    <row r="45" spans="1:20" x14ac:dyDescent="0.25">
      <c r="A45" s="153" t="s">
        <v>100</v>
      </c>
      <c r="B45" s="160">
        <f>cerpadla!B23</f>
        <v>6.1889487510274844E-4</v>
      </c>
      <c r="C45" s="154">
        <f t="shared" si="1"/>
        <v>9.8096694388410928</v>
      </c>
      <c r="D45" s="52">
        <f>cerpadla!J23</f>
        <v>102.33014219846696</v>
      </c>
      <c r="E45" s="51">
        <f>cerpadla!L23</f>
        <v>146.18591742638137</v>
      </c>
      <c r="F45" s="143">
        <f>cerpadla!G23* 3.28084</f>
        <v>16.404199999999999</v>
      </c>
      <c r="G45" s="143">
        <f>(cerpadla!F23)/6.895/1000</f>
        <v>14.69543147208122</v>
      </c>
      <c r="H45" t="s">
        <v>199</v>
      </c>
      <c r="I45" s="154">
        <f t="shared" si="2"/>
        <v>2.2280215503698946</v>
      </c>
      <c r="J45" s="143">
        <f>(cerpadla!F23-cerpadla!E23)/1000</f>
        <v>98.875</v>
      </c>
      <c r="K45" s="108">
        <f>345*Ekonomika!B45</f>
        <v>0.21351873191044821</v>
      </c>
      <c r="L45" s="143">
        <f t="shared" si="3"/>
        <v>144.15732500225872</v>
      </c>
      <c r="M45" s="162">
        <f>2974+780</f>
        <v>3754</v>
      </c>
      <c r="N45" s="163">
        <f t="shared" si="4"/>
        <v>7449.1658240647112</v>
      </c>
      <c r="T45" s="162">
        <f>SUM(T37:T44)</f>
        <v>1322122.2053462942</v>
      </c>
    </row>
    <row r="46" spans="1:20" x14ac:dyDescent="0.25">
      <c r="A46" s="153" t="s">
        <v>102</v>
      </c>
      <c r="B46" s="160">
        <f>cerpadla!B24</f>
        <v>4.4848891251250011E-4</v>
      </c>
      <c r="C46" s="154">
        <f t="shared" si="1"/>
        <v>7.1086838099968803</v>
      </c>
      <c r="D46" s="52">
        <f>cerpadla!J24</f>
        <v>15.251297512396128</v>
      </c>
      <c r="E46" s="51">
        <f>cerpadla!L24</f>
        <v>21.787567874851614</v>
      </c>
      <c r="F46" s="143">
        <f>cerpadla!G24* 3.28084</f>
        <v>1.64042</v>
      </c>
      <c r="G46" s="143">
        <f>(cerpadla!F24)/6.895/1000</f>
        <v>14.69543147208122</v>
      </c>
      <c r="H46" s="143" t="s">
        <v>198</v>
      </c>
      <c r="I46" s="154">
        <f t="shared" si="2"/>
        <v>1.6145600850450004</v>
      </c>
      <c r="J46" s="143">
        <f>(cerpadla!F24-cerpadla!E24)/1000</f>
        <v>27.824999999999999</v>
      </c>
      <c r="K46" s="108">
        <f>345*Ekonomika!B46</f>
        <v>0.15472867481681254</v>
      </c>
      <c r="L46" s="143">
        <f t="shared" si="3"/>
        <v>104.46517578650239</v>
      </c>
      <c r="M46" s="162">
        <f>750*1.8</f>
        <v>1350</v>
      </c>
      <c r="N46" s="163">
        <f t="shared" si="4"/>
        <v>2678.8422649140543</v>
      </c>
    </row>
    <row r="47" spans="1:20" ht="15.75" thickBot="1" x14ac:dyDescent="0.3">
      <c r="A47" s="149" t="s">
        <v>104</v>
      </c>
      <c r="B47" s="161">
        <f>cerpadla!B25</f>
        <v>9.0188329440231604E-7</v>
      </c>
      <c r="C47" s="154">
        <f t="shared" si="1"/>
        <v>1.429512078126503E-2</v>
      </c>
      <c r="D47" s="99">
        <f>cerpadla!J25</f>
        <v>4.5415645958902358E-2</v>
      </c>
      <c r="E47" s="100">
        <f>cerpadla!L25</f>
        <v>6.487949422700337E-2</v>
      </c>
      <c r="F47" s="143">
        <f>cerpadla!G25* 3.28084</f>
        <v>6.56168</v>
      </c>
      <c r="G47" s="143">
        <f>(cerpadla!F25)/6.895/1000</f>
        <v>14.69543147208122</v>
      </c>
      <c r="H47" s="143" t="s">
        <v>198</v>
      </c>
      <c r="I47" s="154">
        <f t="shared" si="2"/>
        <v>3.2467798598483379E-3</v>
      </c>
      <c r="J47" s="143">
        <f>(cerpadla!F25-cerpadla!E25)/1000</f>
        <v>27.824999999999999</v>
      </c>
      <c r="K47" s="108">
        <f>345*Ekonomika!B47</f>
        <v>3.1114973656879905E-4</v>
      </c>
      <c r="L47" s="143">
        <f t="shared" si="3"/>
        <v>0.21007296782620438</v>
      </c>
      <c r="M47" s="162">
        <f>750*1.8</f>
        <v>1350</v>
      </c>
      <c r="N47" s="163">
        <f t="shared" si="4"/>
        <v>2678.8422649140543</v>
      </c>
    </row>
  </sheetData>
  <mergeCells count="17">
    <mergeCell ref="B11:D11"/>
    <mergeCell ref="B12:D12"/>
    <mergeCell ref="L11:N11"/>
    <mergeCell ref="L12:N12"/>
    <mergeCell ref="L17:N17"/>
    <mergeCell ref="L18:N18"/>
    <mergeCell ref="L24:N24"/>
    <mergeCell ref="B17:D17"/>
    <mergeCell ref="R24:T24"/>
    <mergeCell ref="B40:D40"/>
    <mergeCell ref="B35:D35"/>
    <mergeCell ref="B36:D36"/>
    <mergeCell ref="B18:D18"/>
    <mergeCell ref="B23:D23"/>
    <mergeCell ref="B24:D24"/>
    <mergeCell ref="B29:D29"/>
    <mergeCell ref="B30:D3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L15" sqref="L15"/>
    </sheetView>
  </sheetViews>
  <sheetFormatPr defaultRowHeight="15" x14ac:dyDescent="0.25"/>
  <cols>
    <col min="3" max="3" width="14.28515625" bestFit="1" customWidth="1"/>
    <col min="7" max="7" width="9.5703125" bestFit="1" customWidth="1"/>
    <col min="8" max="8" width="14.7109375" bestFit="1" customWidth="1"/>
    <col min="9" max="9" width="9.5703125" bestFit="1" customWidth="1"/>
  </cols>
  <sheetData>
    <row r="1" spans="1:12" ht="15.75" thickBot="1" x14ac:dyDescent="0.3">
      <c r="A1" t="s">
        <v>207</v>
      </c>
      <c r="F1" t="s">
        <v>217</v>
      </c>
      <c r="K1" t="s">
        <v>223</v>
      </c>
      <c r="L1">
        <v>330</v>
      </c>
    </row>
    <row r="2" spans="1:12" ht="15.75" thickBot="1" x14ac:dyDescent="0.3">
      <c r="A2" s="189" t="s">
        <v>191</v>
      </c>
      <c r="B2" s="189"/>
      <c r="C2" t="s">
        <v>208</v>
      </c>
      <c r="F2" s="165" t="s">
        <v>170</v>
      </c>
      <c r="G2" s="166"/>
      <c r="H2" s="167"/>
      <c r="K2" t="s">
        <v>224</v>
      </c>
      <c r="L2">
        <f>L1*24</f>
        <v>7920</v>
      </c>
    </row>
    <row r="3" spans="1:12" ht="15.75" thickBot="1" x14ac:dyDescent="0.3">
      <c r="A3" s="152" t="s">
        <v>209</v>
      </c>
      <c r="B3" s="48" t="s">
        <v>94</v>
      </c>
      <c r="C3" s="162">
        <f>Ekonomika!N42</f>
        <v>2678.8422649140543</v>
      </c>
      <c r="F3" s="145" t="s">
        <v>173</v>
      </c>
      <c r="G3" s="145" t="s">
        <v>220</v>
      </c>
    </row>
    <row r="4" spans="1:12" ht="15.75" thickBot="1" x14ac:dyDescent="0.3">
      <c r="A4" s="153" t="s">
        <v>210</v>
      </c>
      <c r="B4" s="51" t="s">
        <v>96</v>
      </c>
      <c r="C4" s="162">
        <f>Ekonomika!N43</f>
        <v>2678.8422649140543</v>
      </c>
      <c r="F4">
        <f>Ekonomika!O33</f>
        <v>125.94635064925066</v>
      </c>
      <c r="G4">
        <f>$L$2*F4</f>
        <v>997495.09714206529</v>
      </c>
    </row>
    <row r="5" spans="1:12" ht="15.75" thickBot="1" x14ac:dyDescent="0.3">
      <c r="A5" s="153" t="s">
        <v>211</v>
      </c>
      <c r="B5" s="51" t="s">
        <v>98</v>
      </c>
      <c r="C5" s="162">
        <f>Ekonomika!N44</f>
        <v>2678.8422649140543</v>
      </c>
      <c r="F5" s="165" t="s">
        <v>181</v>
      </c>
      <c r="G5" s="166"/>
      <c r="H5" s="167"/>
    </row>
    <row r="6" spans="1:12" ht="15.75" thickBot="1" x14ac:dyDescent="0.3">
      <c r="A6" s="153" t="s">
        <v>212</v>
      </c>
      <c r="B6" s="51" t="s">
        <v>100</v>
      </c>
      <c r="C6" s="162">
        <f>Ekonomika!N45</f>
        <v>7449.1658240647112</v>
      </c>
      <c r="F6" s="145" t="s">
        <v>184</v>
      </c>
      <c r="G6" s="145" t="s">
        <v>219</v>
      </c>
    </row>
    <row r="7" spans="1:12" ht="15.75" thickBot="1" x14ac:dyDescent="0.3">
      <c r="A7" s="153" t="s">
        <v>213</v>
      </c>
      <c r="B7" s="51" t="s">
        <v>102</v>
      </c>
      <c r="C7" s="162">
        <f>Ekonomika!N46</f>
        <v>2678.8422649140543</v>
      </c>
      <c r="F7">
        <f>Ekonomika!U31</f>
        <v>3371.8919804861712</v>
      </c>
      <c r="G7" s="143">
        <f>$L$2*F7</f>
        <v>26705384.485450476</v>
      </c>
    </row>
    <row r="8" spans="1:12" ht="15.75" thickBot="1" x14ac:dyDescent="0.3">
      <c r="A8" s="153" t="s">
        <v>214</v>
      </c>
      <c r="B8" s="100" t="s">
        <v>104</v>
      </c>
      <c r="C8" s="162">
        <f>Ekonomika!N47</f>
        <v>2678.8422649140543</v>
      </c>
      <c r="F8" s="165" t="s">
        <v>218</v>
      </c>
    </row>
    <row r="9" spans="1:12" x14ac:dyDescent="0.25">
      <c r="A9" s="153" t="s">
        <v>162</v>
      </c>
      <c r="B9" s="114" t="s">
        <v>74</v>
      </c>
      <c r="C9" s="163">
        <f>Ekonomika!T38</f>
        <v>8175.6639472313836</v>
      </c>
      <c r="F9" s="13" t="s">
        <v>222</v>
      </c>
      <c r="G9" s="13" t="s">
        <v>221</v>
      </c>
      <c r="H9" t="s">
        <v>225</v>
      </c>
    </row>
    <row r="10" spans="1:12" ht="15.75" thickBot="1" x14ac:dyDescent="0.3">
      <c r="A10" s="153" t="s">
        <v>203</v>
      </c>
      <c r="B10" s="116" t="s">
        <v>75</v>
      </c>
      <c r="C10" s="163">
        <f>Ekonomika!T39</f>
        <v>57774.691893768446</v>
      </c>
      <c r="F10" s="31">
        <f>'EB-VT'!E28*'EB-VT'!H28</f>
        <v>11.899981353931047</v>
      </c>
      <c r="G10" s="31">
        <f>F10*236.29</f>
        <v>2811.8465941203667</v>
      </c>
      <c r="H10" s="168">
        <v>15</v>
      </c>
    </row>
    <row r="11" spans="1:12" x14ac:dyDescent="0.25">
      <c r="A11" s="153" t="s">
        <v>164</v>
      </c>
      <c r="B11" s="124" t="s">
        <v>76</v>
      </c>
      <c r="C11" s="163">
        <f>Ekonomika!T40</f>
        <v>30386.217670543308</v>
      </c>
      <c r="H11" s="168">
        <f>G10*H10</f>
        <v>42177.698911805499</v>
      </c>
    </row>
    <row r="12" spans="1:12" x14ac:dyDescent="0.25">
      <c r="A12" s="153" t="s">
        <v>165</v>
      </c>
      <c r="B12" s="124" t="s">
        <v>78</v>
      </c>
      <c r="C12" s="163">
        <f>Ekonomika!T41</f>
        <v>66086.616906787021</v>
      </c>
    </row>
    <row r="13" spans="1:12" ht="15.75" thickBot="1" x14ac:dyDescent="0.3">
      <c r="A13" s="153" t="s">
        <v>166</v>
      </c>
      <c r="B13" s="125" t="s">
        <v>80</v>
      </c>
      <c r="C13" s="163">
        <f>Ekonomika!T42</f>
        <v>66086.616906787021</v>
      </c>
      <c r="G13" t="s">
        <v>225</v>
      </c>
      <c r="H13" t="s">
        <v>226</v>
      </c>
      <c r="I13" t="s">
        <v>179</v>
      </c>
    </row>
    <row r="14" spans="1:12" x14ac:dyDescent="0.25">
      <c r="A14" s="153" t="s">
        <v>167</v>
      </c>
      <c r="B14" s="114" t="s">
        <v>77</v>
      </c>
      <c r="C14" s="163">
        <f>Ekonomika!T43</f>
        <v>567118.55580628361</v>
      </c>
      <c r="F14" t="s">
        <v>17</v>
      </c>
      <c r="G14" s="162">
        <v>0.74</v>
      </c>
      <c r="H14" s="31">
        <f>'EB-VT'!E45*'EB-VT'!F45</f>
        <v>13.455975766313003</v>
      </c>
      <c r="I14" s="31">
        <f>H14*88.15</f>
        <v>1186.1442638004912</v>
      </c>
    </row>
    <row r="15" spans="1:12" ht="15.75" thickBot="1" x14ac:dyDescent="0.3">
      <c r="A15" s="149" t="s">
        <v>168</v>
      </c>
      <c r="B15" s="116" t="s">
        <v>79</v>
      </c>
      <c r="C15" s="163">
        <f>Ekonomika!T44</f>
        <v>524468.84221489332</v>
      </c>
      <c r="I15" t="s">
        <v>227</v>
      </c>
    </row>
    <row r="16" spans="1:12" ht="15.75" thickBot="1" x14ac:dyDescent="0.3">
      <c r="A16" s="164" t="s">
        <v>216</v>
      </c>
      <c r="C16" s="163">
        <f>Ekonomika!R6</f>
        <v>72627.148064572117</v>
      </c>
      <c r="I16" s="162">
        <f>I14*G14</f>
        <v>877.7467552123635</v>
      </c>
    </row>
    <row r="17" spans="2:3" ht="15.75" thickBot="1" x14ac:dyDescent="0.3">
      <c r="B17" s="169" t="s">
        <v>244</v>
      </c>
      <c r="C17" s="163">
        <f>SUM(C3:C16)</f>
        <v>1413567.7305595011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EB-VT</vt:lpstr>
      <vt:lpstr>cerpadla</vt:lpstr>
      <vt:lpstr>NRTL-binary</vt:lpstr>
      <vt:lpstr>Ekonomika</vt:lpstr>
      <vt:lpstr>Ceny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2025-05-01T22:36:35Z</dcterms:modified>
</cp:coreProperties>
</file>