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h5255/Box Sync/DEPENd/NeuroMAP/Recruitment/Participant Management/"/>
    </mc:Choice>
  </mc:AlternateContent>
  <xr:revisionPtr revIDLastSave="0" documentId="8_{8F6DAAB1-C7BD-BF4A-A55F-6092C9036422}" xr6:coauthVersionLast="45" xr6:coauthVersionMax="45" xr10:uidLastSave="{00000000-0000-0000-0000-000000000000}"/>
  <bookViews>
    <workbookView xWindow="16280" yWindow="1440" windowWidth="28800" windowHeight="18000" activeTab="4" xr2:uid="{A37839A8-3497-C744-A625-C2B7346F8132}"/>
  </bookViews>
  <sheets>
    <sheet name="Screening" sheetId="4" r:id="rId1"/>
    <sheet name="Sheet1" sheetId="11" r:id="rId2"/>
    <sheet name="Sheet2" sheetId="12" r:id="rId3"/>
    <sheet name="Sheet3" sheetId="13" r:id="rId4"/>
    <sheet name="Sheet4" sheetId="14" r:id="rId5"/>
    <sheet name="Sheet5" sheetId="15" r:id="rId6"/>
    <sheet name="SONA" sheetId="8" r:id="rId7"/>
    <sheet name="Queue" sheetId="5" r:id="rId8"/>
    <sheet name="Master ID" sheetId="3" r:id="rId9"/>
    <sheet name="Scheduled" sheetId="9" r:id="rId10"/>
    <sheet name="Payment" sheetId="10" r:id="rId11"/>
    <sheet name="Ineligible" sheetId="6" r:id="rId12"/>
    <sheet name="Flow" sheetId="2" r:id="rId13"/>
    <sheet name="Aggregate" sheetId="1" r:id="rId1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9" i="2"/>
  <c r="G20" i="2"/>
  <c r="G21" i="2"/>
  <c r="G22" i="2"/>
  <c r="G23" i="2"/>
  <c r="G24" i="2"/>
  <c r="G3" i="2"/>
  <c r="G4" i="2"/>
  <c r="G5" i="2"/>
  <c r="G6" i="2"/>
  <c r="G7" i="2"/>
  <c r="G8" i="2"/>
  <c r="G9" i="2"/>
  <c r="G10" i="2"/>
  <c r="G2" i="2"/>
  <c r="F21" i="2" l="1"/>
  <c r="F22" i="2"/>
  <c r="F23" i="2"/>
  <c r="F24" i="2"/>
  <c r="D21" i="2"/>
  <c r="D22" i="2"/>
  <c r="D23" i="2"/>
  <c r="E23" i="2" s="1"/>
  <c r="D24" i="2"/>
  <c r="C21" i="2"/>
  <c r="C22" i="2"/>
  <c r="C23" i="2"/>
  <c r="C24" i="2"/>
  <c r="A21" i="2"/>
  <c r="A22" i="2"/>
  <c r="A23" i="2"/>
  <c r="A24" i="2"/>
  <c r="C20" i="2"/>
  <c r="C19" i="2"/>
  <c r="A20" i="2"/>
  <c r="A19" i="2"/>
  <c r="F20" i="2"/>
  <c r="D20" i="2"/>
  <c r="D19" i="2"/>
  <c r="F19" i="2"/>
  <c r="E20" i="2" l="1"/>
  <c r="E21" i="2"/>
  <c r="E22" i="2"/>
  <c r="E24" i="2"/>
  <c r="E19" i="2"/>
  <c r="F13" i="2"/>
  <c r="F14" i="2"/>
  <c r="F15" i="2"/>
  <c r="F16" i="2"/>
  <c r="M3" i="10" l="1"/>
  <c r="M4" i="10"/>
  <c r="M5" i="10"/>
  <c r="M6" i="10"/>
  <c r="F2" i="2" l="1"/>
  <c r="F3" i="2"/>
  <c r="F4" i="2"/>
  <c r="F5" i="2"/>
  <c r="F6" i="2"/>
  <c r="F7" i="2"/>
  <c r="F8" i="2"/>
  <c r="F9" i="2"/>
  <c r="F10" i="2"/>
  <c r="L6" i="1"/>
  <c r="G39" i="1" l="1"/>
  <c r="G38" i="1"/>
  <c r="G37" i="1"/>
  <c r="G36" i="1"/>
  <c r="G35" i="1"/>
  <c r="G34" i="1"/>
  <c r="G33" i="1"/>
  <c r="G32" i="1"/>
  <c r="G31" i="1"/>
  <c r="G30" i="1"/>
  <c r="G28" i="1"/>
  <c r="F39" i="1"/>
  <c r="F38" i="1"/>
  <c r="F37" i="1"/>
  <c r="F36" i="1"/>
  <c r="F35" i="1"/>
  <c r="F34" i="1"/>
  <c r="F33" i="1"/>
  <c r="F32" i="1"/>
  <c r="F31" i="1"/>
  <c r="F30" i="1"/>
  <c r="F28" i="1"/>
  <c r="G26" i="1"/>
  <c r="G25" i="1"/>
  <c r="G24" i="1"/>
  <c r="G23" i="1"/>
  <c r="G22" i="1"/>
  <c r="G21" i="1"/>
  <c r="G20" i="1"/>
  <c r="G19" i="1"/>
  <c r="G18" i="1"/>
  <c r="G17" i="1"/>
  <c r="F26" i="1"/>
  <c r="F25" i="1"/>
  <c r="F24" i="1"/>
  <c r="F23" i="1"/>
  <c r="F22" i="1"/>
  <c r="F21" i="1"/>
  <c r="F20" i="1"/>
  <c r="F19" i="1"/>
  <c r="F18" i="1"/>
  <c r="F17" i="1"/>
  <c r="G13" i="1"/>
  <c r="G12" i="1"/>
  <c r="G11" i="1"/>
  <c r="G10" i="1"/>
  <c r="G9" i="1"/>
  <c r="G8" i="1"/>
  <c r="G7" i="1"/>
  <c r="G6" i="1"/>
  <c r="G5" i="1"/>
  <c r="F13" i="1"/>
  <c r="F12" i="1"/>
  <c r="F11" i="1"/>
  <c r="F10" i="1"/>
  <c r="F9" i="1"/>
  <c r="F8" i="1"/>
  <c r="F7" i="1"/>
  <c r="F6" i="1"/>
  <c r="F5" i="1"/>
  <c r="F2" i="1"/>
  <c r="G2" i="1"/>
  <c r="F29" i="1"/>
  <c r="F16" i="1"/>
  <c r="F15" i="1"/>
  <c r="F4" i="1"/>
  <c r="F3" i="1"/>
  <c r="G3" i="1"/>
  <c r="G4" i="1"/>
  <c r="G15" i="1"/>
  <c r="G16" i="1"/>
  <c r="G29" i="1"/>
  <c r="M2" i="10"/>
  <c r="J29" i="1" l="1"/>
  <c r="J30" i="1"/>
  <c r="J31" i="1"/>
  <c r="J32" i="1"/>
  <c r="J33" i="1"/>
  <c r="J34" i="1"/>
  <c r="J35" i="1"/>
  <c r="J36" i="1"/>
  <c r="J37" i="1"/>
  <c r="J38" i="1"/>
  <c r="J39" i="1"/>
  <c r="J28" i="1"/>
  <c r="I29" i="1"/>
  <c r="I30" i="1"/>
  <c r="I31" i="1"/>
  <c r="I32" i="1"/>
  <c r="I33" i="1"/>
  <c r="I34" i="1"/>
  <c r="I35" i="1"/>
  <c r="I36" i="1"/>
  <c r="I37" i="1"/>
  <c r="I38" i="1"/>
  <c r="I39" i="1"/>
  <c r="I28" i="1"/>
  <c r="J16" i="1"/>
  <c r="J17" i="1"/>
  <c r="J18" i="1"/>
  <c r="J19" i="1"/>
  <c r="J20" i="1"/>
  <c r="J21" i="1"/>
  <c r="J22" i="1"/>
  <c r="J23" i="1"/>
  <c r="J24" i="1"/>
  <c r="J25" i="1"/>
  <c r="J26" i="1"/>
  <c r="J15" i="1"/>
  <c r="I16" i="1"/>
  <c r="I17" i="1"/>
  <c r="I18" i="1"/>
  <c r="I19" i="1"/>
  <c r="I20" i="1"/>
  <c r="I21" i="1"/>
  <c r="I22" i="1"/>
  <c r="I23" i="1"/>
  <c r="I24" i="1"/>
  <c r="I25" i="1"/>
  <c r="I26" i="1"/>
  <c r="I15" i="1"/>
  <c r="J3" i="1"/>
  <c r="J4" i="1"/>
  <c r="J5" i="1"/>
  <c r="J2" i="1"/>
  <c r="H29" i="1"/>
  <c r="H30" i="1"/>
  <c r="H31" i="1"/>
  <c r="H32" i="1"/>
  <c r="H33" i="1"/>
  <c r="H34" i="1"/>
  <c r="H35" i="1"/>
  <c r="H36" i="1"/>
  <c r="H37" i="1"/>
  <c r="H38" i="1"/>
  <c r="H39" i="1"/>
  <c r="H28" i="1"/>
  <c r="H18" i="1"/>
  <c r="H25" i="1"/>
  <c r="H26" i="1"/>
  <c r="H16" i="1"/>
  <c r="H17" i="1"/>
  <c r="H19" i="1"/>
  <c r="H20" i="1"/>
  <c r="H21" i="1"/>
  <c r="H22" i="1"/>
  <c r="H23" i="1"/>
  <c r="H24" i="1"/>
  <c r="H15" i="1"/>
  <c r="H10" i="1"/>
  <c r="H11" i="1"/>
  <c r="H12" i="1"/>
  <c r="H13" i="1"/>
  <c r="H3" i="1"/>
  <c r="H4" i="1"/>
  <c r="H5" i="1"/>
  <c r="H6" i="1"/>
  <c r="H7" i="1"/>
  <c r="H8" i="1"/>
  <c r="H9" i="1"/>
  <c r="H2" i="1"/>
  <c r="E40" i="1"/>
  <c r="E14" i="1"/>
  <c r="E27" i="1"/>
  <c r="J9" i="1" l="1"/>
  <c r="J13" i="1"/>
  <c r="J11" i="1"/>
  <c r="J8" i="1"/>
  <c r="J10" i="1"/>
  <c r="J6" i="1"/>
  <c r="J7" i="1"/>
  <c r="J12" i="1"/>
  <c r="I6" i="1"/>
  <c r="I10" i="1"/>
  <c r="I3" i="1"/>
  <c r="I12" i="1"/>
  <c r="I8" i="1"/>
  <c r="I9" i="1"/>
  <c r="I11" i="1"/>
  <c r="I2" i="1"/>
  <c r="I4" i="1"/>
  <c r="I5" i="1"/>
  <c r="I7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ED81D263-5991-F840-B7B0-78343F9DAF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S1 = $30
</t>
        </r>
        <r>
          <rPr>
            <sz val="10"/>
            <color rgb="FF000000"/>
            <rFont val="Tahoma"/>
            <family val="2"/>
          </rPr>
          <t xml:space="preserve">Additional .5 hr = $5
</t>
        </r>
        <r>
          <rPr>
            <sz val="10"/>
            <color rgb="FF000000"/>
            <rFont val="Tahoma"/>
            <family val="2"/>
          </rPr>
          <t>Additional 1 hr = $10</t>
        </r>
      </text>
    </comment>
    <comment ref="E1" authorId="0" shapeId="0" xr:uid="{783EC3E4-6329-644E-AA3E-D7A988D921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S2 = $40</t>
        </r>
      </text>
    </comment>
    <comment ref="G1" authorId="0" shapeId="0" xr:uid="{EB2036E7-F627-094D-AF2E-57B5523591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S3 = $40</t>
        </r>
      </text>
    </comment>
    <comment ref="I1" authorId="0" shapeId="0" xr:uid="{3BA14A52-0E0D-3143-AE48-4DC2F922EA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S4 = $50</t>
        </r>
      </text>
    </comment>
    <comment ref="K1" authorId="0" shapeId="0" xr:uid="{128E45F7-D5A9-7649-B4F9-14E4BD3223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S5 = $60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C939EABA-0388-8746-9B32-61E53E52D2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Date of Session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AB97D534-8319-8348-9836-F4F41EC570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R01 expected enrollment</t>
        </r>
      </text>
    </comment>
    <comment ref="F1" authorId="0" shapeId="0" xr:uid="{8C66F2BD-8341-984B-A1EC-9E4995DE79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scheduled but not yet signed consent</t>
        </r>
      </text>
    </comment>
    <comment ref="G1" authorId="0" shapeId="0" xr:uid="{8FC89B27-03C7-B04E-87DC-E9C89E2471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eligible from case conference</t>
        </r>
      </text>
    </comment>
  </commentList>
</comments>
</file>

<file path=xl/sharedStrings.xml><?xml version="1.0" encoding="utf-8"?>
<sst xmlns="http://schemas.openxmlformats.org/spreadsheetml/2006/main" count="531" uniqueCount="160">
  <si>
    <t>NAME</t>
  </si>
  <si>
    <t>PHONE</t>
  </si>
  <si>
    <t>EMAIL</t>
  </si>
  <si>
    <t>SOURCE</t>
  </si>
  <si>
    <t>SCREEN DATE</t>
  </si>
  <si>
    <t>ELIGIBLE?</t>
  </si>
  <si>
    <t>STATUS</t>
  </si>
  <si>
    <t>GROUP</t>
  </si>
  <si>
    <t>PAI</t>
  </si>
  <si>
    <t>AI</t>
  </si>
  <si>
    <t>SPIN</t>
  </si>
  <si>
    <t>RA</t>
  </si>
  <si>
    <t>NOTES</t>
  </si>
  <si>
    <t>CONTACT</t>
  </si>
  <si>
    <t>Melanie</t>
  </si>
  <si>
    <t>555-555-5555</t>
  </si>
  <si>
    <t>abc123@psu.edu</t>
  </si>
  <si>
    <t>Flyer</t>
  </si>
  <si>
    <t>Yes</t>
  </si>
  <si>
    <t>Invited to S1</t>
  </si>
  <si>
    <t>BPD</t>
  </si>
  <si>
    <t>MG</t>
  </si>
  <si>
    <t>turning 24 soon - schedule ASAP</t>
  </si>
  <si>
    <t>Kris Kringle</t>
  </si>
  <si>
    <t>555-867-5309</t>
  </si>
  <si>
    <t>santaclause@np.edu</t>
  </si>
  <si>
    <t>Mail</t>
  </si>
  <si>
    <t>No</t>
  </si>
  <si>
    <t>Completed screen</t>
  </si>
  <si>
    <t>SAD</t>
  </si>
  <si>
    <t>got a knee replacement</t>
  </si>
  <si>
    <t>sent reminder email 2/15/19</t>
  </si>
  <si>
    <t>Melanie Glatz</t>
  </si>
  <si>
    <t>Email invite to S1 4/5/19</t>
  </si>
  <si>
    <t>VM - Fri 4/9/19 @ 10am</t>
  </si>
  <si>
    <t>ID</t>
  </si>
  <si>
    <t>ELIGIBILITY KEY:</t>
  </si>
  <si>
    <t>S1 scheduled</t>
  </si>
  <si>
    <t>&gt;= 38</t>
  </si>
  <si>
    <t>&gt;= 12</t>
  </si>
  <si>
    <t>-</t>
  </si>
  <si>
    <t>Nicole Smith</t>
  </si>
  <si>
    <t>412-974-4368</t>
  </si>
  <si>
    <t>smithnic98@yahoo.com</t>
  </si>
  <si>
    <t>Clinic</t>
  </si>
  <si>
    <t>S3 invited</t>
  </si>
  <si>
    <t>&gt;= 7</t>
  </si>
  <si>
    <t>Jessica Barth</t>
  </si>
  <si>
    <t>518-488-7088</t>
  </si>
  <si>
    <t>jnb5556@psu.edu</t>
  </si>
  <si>
    <t>SONA</t>
  </si>
  <si>
    <t>S4 scheduled</t>
  </si>
  <si>
    <t>HC</t>
  </si>
  <si>
    <t>&lt;= 12</t>
  </si>
  <si>
    <t>&lt;= 3</t>
  </si>
  <si>
    <t>Yujie Yan</t>
  </si>
  <si>
    <t>814-826-9913</t>
  </si>
  <si>
    <t>yxy5293@psu.edu</t>
  </si>
  <si>
    <t>Ineligible S2</t>
  </si>
  <si>
    <t>Elisa Shadow</t>
  </si>
  <si>
    <t>814-441-1019</t>
  </si>
  <si>
    <t>mhshadow@gmail.com</t>
  </si>
  <si>
    <t>S5 completed</t>
  </si>
  <si>
    <t>Michael Buble</t>
  </si>
  <si>
    <t>814-863-7624</t>
  </si>
  <si>
    <t>mbuble@gmail.com</t>
  </si>
  <si>
    <t>Website</t>
  </si>
  <si>
    <t>NA</t>
  </si>
  <si>
    <t>great singer - check out his christmas deluxe special</t>
  </si>
  <si>
    <t>flow test1</t>
  </si>
  <si>
    <t>flow test2</t>
  </si>
  <si>
    <t>flow test3</t>
  </si>
  <si>
    <t>flow test4</t>
  </si>
  <si>
    <t>flow test5</t>
  </si>
  <si>
    <t>flow test6</t>
  </si>
  <si>
    <t>S1 DATE</t>
  </si>
  <si>
    <t>S2 DATE</t>
  </si>
  <si>
    <t>S3 DATE</t>
  </si>
  <si>
    <t>S4 DATE</t>
  </si>
  <si>
    <t>S5 DATE</t>
  </si>
  <si>
    <t>TBD</t>
  </si>
  <si>
    <t>Email - S3 invite 9/1
VM - Mon 9/5 @ 3pm</t>
  </si>
  <si>
    <t>S1 AMT</t>
  </si>
  <si>
    <t>S1 NOTES</t>
  </si>
  <si>
    <t>S2 AMT</t>
  </si>
  <si>
    <t>S2 NOTES</t>
  </si>
  <si>
    <t>S3 AMT</t>
  </si>
  <si>
    <t>S3 NOTES</t>
  </si>
  <si>
    <t>S4 AMT</t>
  </si>
  <si>
    <t>S4 NOTES</t>
  </si>
  <si>
    <t>S5 AMT</t>
  </si>
  <si>
    <t>S5 NOTES</t>
  </si>
  <si>
    <t>FINAL AMT</t>
  </si>
  <si>
    <t>READY?</t>
  </si>
  <si>
    <t>PAY DATE</t>
  </si>
  <si>
    <t>SUBMITTER</t>
  </si>
  <si>
    <t>S1 took additional 4.5 hrs</t>
  </si>
  <si>
    <t>low RIST - ineligible</t>
  </si>
  <si>
    <t>international - need IRS 8233</t>
  </si>
  <si>
    <t>INELIGIBLE CODE</t>
  </si>
  <si>
    <t>PHASE DEEMED INELIGIBLE</t>
  </si>
  <si>
    <t>INELIGIBILITY CODE:</t>
  </si>
  <si>
    <t>PHASE:</t>
  </si>
  <si>
    <t>Ineligible S1</t>
  </si>
  <si>
    <t>turned 26 before S1</t>
  </si>
  <si>
    <t>didn't meet PAI, SPIN, HC criteria</t>
  </si>
  <si>
    <t>Screening</t>
  </si>
  <si>
    <t>RIST &lt; 80</t>
  </si>
  <si>
    <t>Session 1</t>
  </si>
  <si>
    <t>non-removable metal</t>
  </si>
  <si>
    <t>Session 2</t>
  </si>
  <si>
    <t>vision</t>
  </si>
  <si>
    <t>Session 3</t>
  </si>
  <si>
    <t>weight (&gt;250 lbs.)</t>
  </si>
  <si>
    <t>Session 4</t>
  </si>
  <si>
    <t>claustrophobic</t>
  </si>
  <si>
    <t>Session 5</t>
  </si>
  <si>
    <t>tattoo above shoulders</t>
  </si>
  <si>
    <t>not in the area/moved</t>
  </si>
  <si>
    <t>neurological disorder or other condition</t>
  </si>
  <si>
    <t>current substance dependence</t>
  </si>
  <si>
    <t>other psychotic disorder</t>
  </si>
  <si>
    <t>age</t>
  </si>
  <si>
    <t>DATE</t>
  </si>
  <si>
    <t>CONSENT</t>
  </si>
  <si>
    <t>ELIGIBLE</t>
  </si>
  <si>
    <t>month</t>
  </si>
  <si>
    <t>year</t>
  </si>
  <si>
    <t>from master</t>
  </si>
  <si>
    <t>MANUAL</t>
  </si>
  <si>
    <t>if date is &lt; today</t>
  </si>
  <si>
    <t>if consent=1 &amp; master indicates eligible</t>
  </si>
  <si>
    <t>YEAR</t>
  </si>
  <si>
    <t>MONTH</t>
  </si>
  <si>
    <t>EXPECTED</t>
  </si>
  <si>
    <t>PROJECTED</t>
  </si>
  <si>
    <t>ENROLLED</t>
  </si>
  <si>
    <t>C_EXPECTED</t>
  </si>
  <si>
    <t>C_PROJECTED</t>
  </si>
  <si>
    <t>C_ENROLLED</t>
  </si>
  <si>
    <t>R01 TIMELINE</t>
  </si>
  <si>
    <t>Apr</t>
  </si>
  <si>
    <t>Y1:</t>
  </si>
  <si>
    <t>May</t>
  </si>
  <si>
    <t>Jun</t>
  </si>
  <si>
    <t>Jul</t>
  </si>
  <si>
    <t>Aug</t>
  </si>
  <si>
    <t>Sep</t>
  </si>
  <si>
    <t>Y2:</t>
  </si>
  <si>
    <t>Oct</t>
  </si>
  <si>
    <t>Nov</t>
  </si>
  <si>
    <t>Dec</t>
  </si>
  <si>
    <t>Jan</t>
  </si>
  <si>
    <t>12 MO FU</t>
  </si>
  <si>
    <t>Feb</t>
  </si>
  <si>
    <t>Mar</t>
  </si>
  <si>
    <t>Y3:</t>
  </si>
  <si>
    <t>TOTAL</t>
  </si>
  <si>
    <t>Y4:</t>
  </si>
  <si>
    <t>Y5: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</si>
</sst>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5" fillId="0" borderId="0" xfId="0" applyFont="1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14" fontId="0" fillId="2" borderId="0" xfId="0" applyNumberFormat="1" applyFill="1"/>
    <xf numFmtId="0" fontId="6" fillId="0" borderId="0" xfId="1"/>
    <xf numFmtId="0" fontId="6" fillId="2" borderId="0" xfId="1" applyFill="1"/>
    <xf numFmtId="0" fontId="2" fillId="3" borderId="0" xfId="0" applyFont="1" applyFill="1"/>
    <xf numFmtId="0" fontId="6" fillId="3" borderId="0" xfId="1" applyFill="1"/>
    <xf numFmtId="14" fontId="2" fillId="3" borderId="0" xfId="0" applyNumberFormat="1" applyFont="1" applyFill="1"/>
    <xf numFmtId="0" fontId="0" fillId="0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0" fontId="2" fillId="2" borderId="0" xfId="0" applyFont="1" applyFill="1"/>
    <xf numFmtId="14" fontId="0" fillId="0" borderId="0" xfId="0" applyNumberForma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0" fillId="0" borderId="0" xfId="0" applyAlignment="1">
      <alignment wrapText="1"/>
    </xf>
    <xf numFmtId="6" fontId="0" fillId="2" borderId="0" xfId="0" applyNumberFormat="1" applyFill="1"/>
    <xf numFmtId="0" fontId="7" fillId="0" borderId="0" xfId="1" applyFont="1"/>
    <xf numFmtId="0" fontId="7" fillId="0" borderId="0" xfId="0" applyFont="1"/>
    <xf numFmtId="0" fontId="2" fillId="0" borderId="0" xfId="0" applyNumberFormat="1" applyFont="1"/>
    <xf numFmtId="0" fontId="0" fillId="0" borderId="0" xfId="0" applyNumberFormat="1"/>
    <xf numFmtId="0" fontId="2" fillId="0" borderId="6" xfId="0" applyFont="1" applyBorder="1"/>
    <xf numFmtId="0" fontId="2" fillId="0" borderId="8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ntaclause@np.edu" TargetMode="External"/><Relationship Id="rId1" Type="http://schemas.openxmlformats.org/officeDocument/2006/relationships/hyperlink" Target="mailto:abc123@psu.edu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bc123@psu.edu" TargetMode="External"/><Relationship Id="rId2" Type="http://schemas.openxmlformats.org/officeDocument/2006/relationships/hyperlink" Target="mailto:jnb5556@psu.edu" TargetMode="External"/><Relationship Id="rId1" Type="http://schemas.openxmlformats.org/officeDocument/2006/relationships/hyperlink" Target="mailto:smithnic98@yahoo.com" TargetMode="External"/><Relationship Id="rId4" Type="http://schemas.openxmlformats.org/officeDocument/2006/relationships/hyperlink" Target="mailto:mhshadow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buble@gmail.com" TargetMode="External"/><Relationship Id="rId2" Type="http://schemas.openxmlformats.org/officeDocument/2006/relationships/hyperlink" Target="mailto:abc123@psu.edu" TargetMode="External"/><Relationship Id="rId1" Type="http://schemas.openxmlformats.org/officeDocument/2006/relationships/hyperlink" Target="mailto:yxy5293@psu.edu" TargetMode="External"/><Relationship Id="rId4" Type="http://schemas.openxmlformats.org/officeDocument/2006/relationships/hyperlink" Target="mailto:santaclause@np.edu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bc123@psu.ed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bc123@psu.edu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yxy5293@psu.edu" TargetMode="External"/><Relationship Id="rId7" Type="http://schemas.openxmlformats.org/officeDocument/2006/relationships/hyperlink" Target="mailto:santaclause@np.edu" TargetMode="External"/><Relationship Id="rId2" Type="http://schemas.openxmlformats.org/officeDocument/2006/relationships/hyperlink" Target="mailto:mhshadow@gmail.com" TargetMode="External"/><Relationship Id="rId1" Type="http://schemas.openxmlformats.org/officeDocument/2006/relationships/hyperlink" Target="mailto:abc123@psu.edu" TargetMode="External"/><Relationship Id="rId6" Type="http://schemas.openxmlformats.org/officeDocument/2006/relationships/hyperlink" Target="mailto:mbuble@gmail.com" TargetMode="External"/><Relationship Id="rId5" Type="http://schemas.openxmlformats.org/officeDocument/2006/relationships/hyperlink" Target="mailto:smithnic98@yahoo.com" TargetMode="External"/><Relationship Id="rId4" Type="http://schemas.openxmlformats.org/officeDocument/2006/relationships/hyperlink" Target="mailto:jnb5556@p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E93A-5B40-0049-8758-9C9115F5CFB9}">
  <dimension ref="A1:N13"/>
  <sheetViews>
    <sheetView workbookViewId="0">
      <pane ySplit="1" topLeftCell="A2" activePane="bottomLeft" state="frozen"/>
      <selection pane="bottomLeft" activeCell="A10" sqref="A10:C13"/>
    </sheetView>
  </sheetViews>
  <sheetFormatPr defaultColWidth="11" defaultRowHeight="15.95"/>
  <cols>
    <col min="1" max="1" width="16.375" bestFit="1" customWidth="1"/>
    <col min="2" max="2" width="17.625" customWidth="1"/>
    <col min="3" max="3" width="24.375" bestFit="1" customWidth="1"/>
    <col min="5" max="5" width="12.625" bestFit="1" customWidth="1"/>
    <col min="7" max="7" width="11.375" bestFit="1" customWidth="1"/>
    <col min="8" max="12" width="11.375" customWidth="1"/>
    <col min="13" max="13" width="28" bestFit="1" customWidth="1"/>
    <col min="14" max="14" width="25.37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pans="1:14" s="18" customFormat="1">
      <c r="A2" s="11" t="s">
        <v>14</v>
      </c>
      <c r="B2" s="11" t="s">
        <v>15</v>
      </c>
      <c r="C2" s="14" t="s">
        <v>16</v>
      </c>
      <c r="D2" s="11" t="s">
        <v>17</v>
      </c>
      <c r="E2" s="12">
        <v>43556</v>
      </c>
      <c r="F2" s="11" t="s">
        <v>18</v>
      </c>
      <c r="G2" s="11" t="s">
        <v>19</v>
      </c>
      <c r="H2" s="15" t="s">
        <v>20</v>
      </c>
      <c r="I2" s="15">
        <v>44</v>
      </c>
      <c r="J2" s="15">
        <v>12</v>
      </c>
      <c r="K2" s="15">
        <v>1</v>
      </c>
      <c r="L2" s="15" t="s">
        <v>21</v>
      </c>
      <c r="M2" s="15" t="s">
        <v>22</v>
      </c>
      <c r="N2" s="11"/>
    </row>
    <row r="3" spans="1:14">
      <c r="A3" t="s">
        <v>23</v>
      </c>
      <c r="B3" t="s">
        <v>24</v>
      </c>
      <c r="C3" s="13" t="s">
        <v>25</v>
      </c>
      <c r="D3" t="s">
        <v>26</v>
      </c>
      <c r="E3" s="8">
        <v>43459</v>
      </c>
      <c r="F3" t="s">
        <v>27</v>
      </c>
      <c r="G3" t="s">
        <v>28</v>
      </c>
      <c r="H3" t="s">
        <v>29</v>
      </c>
      <c r="I3">
        <v>12</v>
      </c>
      <c r="J3">
        <v>4</v>
      </c>
      <c r="K3">
        <v>9</v>
      </c>
      <c r="L3" t="s">
        <v>21</v>
      </c>
      <c r="M3" t="s">
        <v>30</v>
      </c>
      <c r="N3" t="s">
        <v>31</v>
      </c>
    </row>
    <row r="10" spans="1:14">
      <c r="C10" s="13"/>
    </row>
    <row r="11" spans="1:14">
      <c r="C11" s="13"/>
    </row>
    <row r="12" spans="1:14">
      <c r="C12" s="13"/>
    </row>
    <row r="13" spans="1:14">
      <c r="C13" s="13"/>
    </row>
  </sheetData>
  <hyperlinks>
    <hyperlink ref="C2" r:id="rId1" xr:uid="{5E3D26DC-A710-8445-8222-862ADBD05B2B}"/>
    <hyperlink ref="C3" r:id="rId2" xr:uid="{4AA9BB4C-47B4-5D4A-8FDB-820F7A3F802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0DD8-11A5-DF47-BA26-9E7A67CA1456}">
  <dimension ref="A1:Q6"/>
  <sheetViews>
    <sheetView workbookViewId="0">
      <pane ySplit="1" topLeftCell="A2" activePane="bottomLeft" state="frozen"/>
      <selection pane="bottomLeft" activeCell="K5" sqref="K5"/>
    </sheetView>
  </sheetViews>
  <sheetFormatPr defaultColWidth="11" defaultRowHeight="15.95"/>
  <cols>
    <col min="2" max="2" width="11.875" bestFit="1" customWidth="1"/>
    <col min="3" max="3" width="12.5" bestFit="1" customWidth="1"/>
    <col min="4" max="4" width="21" bestFit="1" customWidth="1"/>
    <col min="6" max="6" width="12.625" bestFit="1" customWidth="1"/>
    <col min="8" max="8" width="11.875" bestFit="1" customWidth="1"/>
    <col min="15" max="15" width="22" customWidth="1"/>
  </cols>
  <sheetData>
    <row r="1" spans="1:17" s="1" customFormat="1">
      <c r="A1" s="7" t="s">
        <v>35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12</v>
      </c>
      <c r="O1" s="1" t="s">
        <v>13</v>
      </c>
    </row>
    <row r="2" spans="1:17">
      <c r="A2" s="15">
        <v>999</v>
      </c>
      <c r="B2" s="15" t="s">
        <v>32</v>
      </c>
      <c r="C2" s="15" t="s">
        <v>15</v>
      </c>
      <c r="D2" s="16" t="s">
        <v>16</v>
      </c>
      <c r="E2" s="15" t="s">
        <v>17</v>
      </c>
      <c r="F2" s="17">
        <v>43586</v>
      </c>
      <c r="G2" s="15" t="s">
        <v>18</v>
      </c>
      <c r="H2" s="15" t="s">
        <v>37</v>
      </c>
      <c r="I2" s="17">
        <v>43595</v>
      </c>
      <c r="J2" s="15"/>
      <c r="K2" s="15"/>
      <c r="L2" s="15"/>
      <c r="M2" s="15"/>
      <c r="N2" s="15"/>
      <c r="O2" s="15"/>
      <c r="P2" s="26"/>
      <c r="Q2" s="26"/>
    </row>
    <row r="3" spans="1:17" ht="33.950000000000003">
      <c r="A3" s="2">
        <v>95</v>
      </c>
      <c r="B3" s="2" t="s">
        <v>41</v>
      </c>
      <c r="C3" s="2" t="s">
        <v>42</v>
      </c>
      <c r="D3" s="13" t="s">
        <v>43</v>
      </c>
      <c r="E3" s="2" t="s">
        <v>44</v>
      </c>
      <c r="F3" s="30">
        <v>43678</v>
      </c>
      <c r="G3" s="2" t="s">
        <v>18</v>
      </c>
      <c r="H3" s="2" t="s">
        <v>45</v>
      </c>
      <c r="I3" s="30">
        <v>43693</v>
      </c>
      <c r="J3" s="30">
        <v>43706</v>
      </c>
      <c r="K3" s="2" t="s">
        <v>80</v>
      </c>
      <c r="L3" s="2"/>
      <c r="M3" s="2"/>
      <c r="N3" s="2"/>
      <c r="O3" s="31" t="s">
        <v>81</v>
      </c>
    </row>
    <row r="4" spans="1:17">
      <c r="A4" s="2">
        <v>122</v>
      </c>
      <c r="B4" s="2" t="s">
        <v>47</v>
      </c>
      <c r="C4" s="2" t="s">
        <v>48</v>
      </c>
      <c r="D4" s="13" t="s">
        <v>49</v>
      </c>
      <c r="E4" s="2" t="s">
        <v>50</v>
      </c>
      <c r="F4" s="30">
        <v>43716</v>
      </c>
      <c r="G4" s="2" t="s">
        <v>18</v>
      </c>
      <c r="H4" s="2" t="s">
        <v>51</v>
      </c>
      <c r="I4" s="30">
        <v>43722</v>
      </c>
      <c r="J4" s="30">
        <v>43738</v>
      </c>
      <c r="K4" s="30">
        <v>43741</v>
      </c>
      <c r="L4" s="30">
        <v>43758</v>
      </c>
      <c r="M4" s="2"/>
      <c r="N4" s="2"/>
    </row>
    <row r="5" spans="1:17">
      <c r="A5">
        <v>145</v>
      </c>
      <c r="B5" t="s">
        <v>59</v>
      </c>
      <c r="C5" t="s">
        <v>60</v>
      </c>
      <c r="D5" s="13" t="s">
        <v>61</v>
      </c>
      <c r="E5" t="s">
        <v>17</v>
      </c>
      <c r="F5" s="8">
        <v>43680</v>
      </c>
      <c r="G5" t="s">
        <v>18</v>
      </c>
      <c r="H5" t="s">
        <v>62</v>
      </c>
      <c r="I5" s="29">
        <v>43684</v>
      </c>
      <c r="J5" s="29">
        <v>43697</v>
      </c>
      <c r="K5" s="29">
        <v>43700</v>
      </c>
      <c r="L5" s="29">
        <v>43757</v>
      </c>
      <c r="M5" s="28">
        <v>44046</v>
      </c>
      <c r="O5" s="8"/>
    </row>
    <row r="6" spans="1:17">
      <c r="L6" s="2"/>
      <c r="M6" s="2"/>
      <c r="N6" s="2"/>
      <c r="O6" s="30"/>
      <c r="P6" s="2"/>
      <c r="Q6" s="2"/>
    </row>
  </sheetData>
  <hyperlinks>
    <hyperlink ref="D3" r:id="rId1" display="mailto:smithnic98@yahoo.com" xr:uid="{C9416287-4F6C-8A43-9BC3-7F5D2F1B2783}"/>
    <hyperlink ref="D4" r:id="rId2" display="mailto:jnb5556@psu.edu" xr:uid="{8DF55B16-46CD-C341-B378-951D770DEAD6}"/>
    <hyperlink ref="D2" r:id="rId3" display="mailto:abc123@psu.edu" xr:uid="{C0CDD05E-9FA9-3742-982B-B08838684D4C}"/>
    <hyperlink ref="D5" r:id="rId4" xr:uid="{8560F7E5-5543-8943-A0DB-9F9AD1BB1F9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1EF9-16B3-6242-B61E-20D4403A6F1A}">
  <dimension ref="A1:Q12"/>
  <sheetViews>
    <sheetView workbookViewId="0">
      <pane ySplit="1" topLeftCell="A2" activePane="bottomLeft" state="frozen"/>
      <selection pane="bottomLeft" activeCell="A3" sqref="A3"/>
    </sheetView>
  </sheetViews>
  <sheetFormatPr defaultColWidth="11" defaultRowHeight="15.95"/>
  <cols>
    <col min="2" max="2" width="12.625" bestFit="1" customWidth="1"/>
    <col min="3" max="3" width="12.5" bestFit="1" customWidth="1"/>
    <col min="4" max="4" width="22.125" bestFit="1" customWidth="1"/>
    <col min="6" max="6" width="17.625" bestFit="1" customWidth="1"/>
    <col min="14" max="14" width="7.875" bestFit="1" customWidth="1"/>
    <col min="17" max="17" width="25.375" bestFit="1" customWidth="1"/>
  </cols>
  <sheetData>
    <row r="1" spans="1:17" s="1" customFormat="1">
      <c r="A1" s="7" t="s">
        <v>35</v>
      </c>
      <c r="B1" s="7" t="s">
        <v>0</v>
      </c>
      <c r="C1" s="7" t="s">
        <v>82</v>
      </c>
      <c r="D1" s="7" t="s">
        <v>83</v>
      </c>
      <c r="E1" s="7" t="s">
        <v>84</v>
      </c>
      <c r="F1" s="7" t="s">
        <v>85</v>
      </c>
      <c r="G1" s="7" t="s">
        <v>86</v>
      </c>
      <c r="H1" s="7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12</v>
      </c>
    </row>
    <row r="2" spans="1:17" s="11" customFormat="1">
      <c r="A2" s="11">
        <v>999</v>
      </c>
      <c r="B2" s="11" t="s">
        <v>32</v>
      </c>
      <c r="C2" s="11">
        <v>30</v>
      </c>
      <c r="E2" s="11">
        <v>40</v>
      </c>
      <c r="G2" s="11">
        <v>40</v>
      </c>
      <c r="I2" s="11">
        <v>50</v>
      </c>
      <c r="K2" s="11">
        <v>60</v>
      </c>
      <c r="M2" s="11">
        <f>SUM(C2+E2+G2+I2+K2)</f>
        <v>220</v>
      </c>
      <c r="N2" s="11" t="s">
        <v>18</v>
      </c>
      <c r="O2" s="12">
        <v>43522</v>
      </c>
      <c r="P2" s="11" t="s">
        <v>21</v>
      </c>
    </row>
    <row r="3" spans="1:17">
      <c r="A3" s="2">
        <v>95</v>
      </c>
      <c r="B3" s="2" t="s">
        <v>41</v>
      </c>
      <c r="C3" s="2">
        <v>45</v>
      </c>
      <c r="D3" s="33" t="s">
        <v>96</v>
      </c>
      <c r="E3" s="2">
        <v>40</v>
      </c>
      <c r="F3" s="30"/>
      <c r="G3" s="2"/>
      <c r="H3" s="35"/>
      <c r="I3" s="35"/>
      <c r="J3" s="35"/>
      <c r="K3" s="35"/>
      <c r="L3" s="35"/>
      <c r="M3" s="18">
        <f t="shared" ref="M3:M6" si="0">SUM(C3+E3+G3+I3+K3)</f>
        <v>85</v>
      </c>
      <c r="N3" s="2"/>
      <c r="O3" s="2"/>
      <c r="P3" s="2"/>
      <c r="Q3" s="2"/>
    </row>
    <row r="4" spans="1:17">
      <c r="A4" s="2">
        <v>122</v>
      </c>
      <c r="B4" s="2" t="s">
        <v>47</v>
      </c>
      <c r="C4" s="2">
        <v>30</v>
      </c>
      <c r="D4" s="33"/>
      <c r="E4" s="2">
        <v>40</v>
      </c>
      <c r="F4" s="30"/>
      <c r="G4" s="2">
        <v>40</v>
      </c>
      <c r="H4" s="35"/>
      <c r="I4" s="35">
        <v>50</v>
      </c>
      <c r="J4" s="35"/>
      <c r="K4" s="35"/>
      <c r="L4" s="35"/>
      <c r="M4" s="18">
        <f t="shared" si="0"/>
        <v>160</v>
      </c>
      <c r="N4" s="2"/>
      <c r="O4" s="2"/>
      <c r="P4" s="2"/>
      <c r="Q4" s="2"/>
    </row>
    <row r="5" spans="1:17">
      <c r="A5" s="2">
        <v>132</v>
      </c>
      <c r="B5" s="2" t="s">
        <v>55</v>
      </c>
      <c r="C5" s="2">
        <v>30</v>
      </c>
      <c r="D5" s="33"/>
      <c r="E5" s="2">
        <v>40</v>
      </c>
      <c r="F5" s="30" t="s">
        <v>97</v>
      </c>
      <c r="G5" s="2"/>
      <c r="H5" s="35"/>
      <c r="I5" s="35"/>
      <c r="J5" s="35"/>
      <c r="K5" s="35"/>
      <c r="L5" s="35"/>
      <c r="M5" s="18">
        <f t="shared" si="0"/>
        <v>70</v>
      </c>
      <c r="N5" s="2" t="s">
        <v>18</v>
      </c>
      <c r="O5" s="30">
        <v>43713</v>
      </c>
      <c r="P5" s="2" t="s">
        <v>21</v>
      </c>
      <c r="Q5" s="2" t="s">
        <v>98</v>
      </c>
    </row>
    <row r="6" spans="1:17">
      <c r="A6" s="2">
        <v>145</v>
      </c>
      <c r="B6" s="2" t="s">
        <v>59</v>
      </c>
      <c r="C6" s="2">
        <v>30</v>
      </c>
      <c r="D6" s="33"/>
      <c r="E6" s="2">
        <v>40</v>
      </c>
      <c r="F6" s="30"/>
      <c r="G6" s="2">
        <v>40</v>
      </c>
      <c r="H6" s="35"/>
      <c r="I6" s="35">
        <v>50</v>
      </c>
      <c r="J6" s="35"/>
      <c r="K6" s="35"/>
      <c r="L6" s="35"/>
      <c r="M6" s="18">
        <f t="shared" si="0"/>
        <v>160</v>
      </c>
      <c r="N6" s="2"/>
      <c r="O6" s="30"/>
      <c r="P6" s="2"/>
      <c r="Q6" s="2"/>
    </row>
    <row r="7" spans="1:17">
      <c r="D7" s="34"/>
      <c r="H7" s="36"/>
      <c r="I7" s="36"/>
      <c r="J7" s="36"/>
      <c r="K7" s="36"/>
      <c r="L7" s="36"/>
      <c r="M7" s="18"/>
    </row>
    <row r="8" spans="1:17">
      <c r="D8" s="34"/>
      <c r="H8" s="36"/>
      <c r="I8" s="36"/>
      <c r="J8" s="36"/>
      <c r="K8" s="36"/>
      <c r="L8" s="36"/>
      <c r="M8" s="18"/>
    </row>
    <row r="9" spans="1:17">
      <c r="D9" s="34"/>
      <c r="H9" s="36"/>
      <c r="I9" s="36"/>
      <c r="J9" s="36"/>
      <c r="K9" s="36"/>
      <c r="L9" s="36"/>
      <c r="M9" s="18"/>
    </row>
    <row r="10" spans="1:17">
      <c r="D10" s="34"/>
      <c r="H10" s="36"/>
      <c r="I10" s="36"/>
      <c r="J10" s="36"/>
      <c r="K10" s="36"/>
      <c r="L10" s="36"/>
      <c r="M10" s="18"/>
    </row>
    <row r="11" spans="1:17">
      <c r="D11" s="34"/>
      <c r="H11" s="36"/>
      <c r="I11" s="36"/>
      <c r="J11" s="36"/>
      <c r="K11" s="36"/>
      <c r="L11" s="36"/>
      <c r="M11" s="18"/>
    </row>
    <row r="12" spans="1:17">
      <c r="D12" s="34"/>
      <c r="H12" s="36"/>
      <c r="I12" s="36"/>
      <c r="J12" s="36"/>
      <c r="K12" s="36"/>
      <c r="L12" s="36"/>
      <c r="M12" s="1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BBCE-773B-E049-A024-5F2F0081D336}">
  <dimension ref="A1:U14"/>
  <sheetViews>
    <sheetView workbookViewId="0">
      <pane ySplit="1" topLeftCell="A2" activePane="bottomLeft" state="frozen"/>
      <selection pane="bottomLeft" activeCell="E3" sqref="A3:J3"/>
    </sheetView>
  </sheetViews>
  <sheetFormatPr defaultColWidth="11" defaultRowHeight="15.95"/>
  <cols>
    <col min="2" max="2" width="12.625" bestFit="1" customWidth="1"/>
    <col min="3" max="3" width="12.5" bestFit="1" customWidth="1"/>
    <col min="4" max="4" width="18" bestFit="1" customWidth="1"/>
    <col min="6" max="6" width="12.625" bestFit="1" customWidth="1"/>
    <col min="8" max="8" width="15.875" bestFit="1" customWidth="1"/>
    <col min="13" max="13" width="15.375" bestFit="1" customWidth="1"/>
    <col min="14" max="14" width="24.375" bestFit="1" customWidth="1"/>
    <col min="15" max="15" width="17.5" bestFit="1" customWidth="1"/>
    <col min="18" max="18" width="3.125" bestFit="1" customWidth="1"/>
    <col min="19" max="19" width="34" bestFit="1" customWidth="1"/>
    <col min="20" max="20" width="2.125" bestFit="1" customWidth="1"/>
  </cols>
  <sheetData>
    <row r="1" spans="1:21" s="1" customFormat="1">
      <c r="A1" s="7" t="s">
        <v>35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75</v>
      </c>
      <c r="J1" s="7" t="s">
        <v>76</v>
      </c>
      <c r="M1" s="1" t="s">
        <v>99</v>
      </c>
      <c r="N1" s="1" t="s">
        <v>100</v>
      </c>
      <c r="O1" s="1" t="s">
        <v>12</v>
      </c>
      <c r="R1" s="19"/>
      <c r="S1" s="20" t="s">
        <v>101</v>
      </c>
      <c r="T1" s="19"/>
      <c r="U1" s="21" t="s">
        <v>102</v>
      </c>
    </row>
    <row r="2" spans="1:21">
      <c r="A2" s="15">
        <v>999</v>
      </c>
      <c r="B2" s="15" t="s">
        <v>32</v>
      </c>
      <c r="C2" s="15" t="s">
        <v>15</v>
      </c>
      <c r="D2" s="16" t="s">
        <v>16</v>
      </c>
      <c r="E2" s="15" t="s">
        <v>17</v>
      </c>
      <c r="F2" s="17">
        <v>43586</v>
      </c>
      <c r="G2" s="15" t="s">
        <v>27</v>
      </c>
      <c r="H2" s="15" t="s">
        <v>103</v>
      </c>
      <c r="I2" s="17">
        <v>43595</v>
      </c>
      <c r="J2" s="15"/>
      <c r="K2" s="15"/>
      <c r="L2" s="15"/>
      <c r="M2" s="15">
        <v>12</v>
      </c>
      <c r="N2" s="15">
        <v>1</v>
      </c>
      <c r="O2" s="15" t="s">
        <v>104</v>
      </c>
      <c r="R2" s="22">
        <v>1</v>
      </c>
      <c r="S2" s="4" t="s">
        <v>105</v>
      </c>
      <c r="T2" s="22">
        <v>0</v>
      </c>
      <c r="U2" s="37" t="s">
        <v>106</v>
      </c>
    </row>
    <row r="3" spans="1:21">
      <c r="A3" s="2">
        <v>132</v>
      </c>
      <c r="B3" s="2" t="s">
        <v>55</v>
      </c>
      <c r="C3" s="2" t="s">
        <v>56</v>
      </c>
      <c r="D3" s="13" t="s">
        <v>57</v>
      </c>
      <c r="E3" s="2" t="s">
        <v>50</v>
      </c>
      <c r="F3" s="30">
        <v>43687</v>
      </c>
      <c r="G3" s="2" t="s">
        <v>27</v>
      </c>
      <c r="H3" s="2" t="s">
        <v>58</v>
      </c>
      <c r="I3" s="30">
        <v>43702</v>
      </c>
      <c r="J3" s="30">
        <v>43709</v>
      </c>
      <c r="K3" s="2"/>
      <c r="M3">
        <v>2</v>
      </c>
      <c r="N3">
        <v>2</v>
      </c>
      <c r="R3" s="22">
        <v>2</v>
      </c>
      <c r="S3" s="4" t="s">
        <v>107</v>
      </c>
      <c r="T3" s="22">
        <v>1</v>
      </c>
      <c r="U3" s="37" t="s">
        <v>108</v>
      </c>
    </row>
    <row r="4" spans="1:21">
      <c r="B4" s="2" t="s">
        <v>63</v>
      </c>
      <c r="C4" t="s">
        <v>64</v>
      </c>
      <c r="D4" s="13" t="s">
        <v>65</v>
      </c>
      <c r="E4" t="s">
        <v>66</v>
      </c>
      <c r="F4" s="8">
        <v>43584</v>
      </c>
      <c r="G4" t="s">
        <v>27</v>
      </c>
      <c r="H4" t="s">
        <v>28</v>
      </c>
      <c r="M4">
        <v>1</v>
      </c>
      <c r="N4">
        <v>0</v>
      </c>
      <c r="R4" s="22">
        <v>3</v>
      </c>
      <c r="S4" s="4" t="s">
        <v>109</v>
      </c>
      <c r="T4" s="22">
        <v>2</v>
      </c>
      <c r="U4" s="37" t="s">
        <v>110</v>
      </c>
    </row>
    <row r="5" spans="1:21">
      <c r="B5" s="2" t="s">
        <v>23</v>
      </c>
      <c r="C5" s="2" t="s">
        <v>24</v>
      </c>
      <c r="D5" s="13" t="s">
        <v>25</v>
      </c>
      <c r="E5" s="2" t="s">
        <v>26</v>
      </c>
      <c r="F5" s="30">
        <v>43459</v>
      </c>
      <c r="G5" s="2" t="s">
        <v>27</v>
      </c>
      <c r="H5" s="2" t="s">
        <v>28</v>
      </c>
      <c r="I5" s="2"/>
      <c r="J5" s="2"/>
      <c r="K5" s="2"/>
      <c r="L5" s="2"/>
      <c r="M5" s="2">
        <v>3</v>
      </c>
      <c r="N5" s="2">
        <v>0</v>
      </c>
      <c r="O5" s="2" t="s">
        <v>30</v>
      </c>
      <c r="R5" s="22">
        <v>4</v>
      </c>
      <c r="S5" s="4" t="s">
        <v>111</v>
      </c>
      <c r="T5" s="22">
        <v>3</v>
      </c>
      <c r="U5" s="37" t="s">
        <v>112</v>
      </c>
    </row>
    <row r="6" spans="1:21">
      <c r="R6" s="22">
        <v>5</v>
      </c>
      <c r="S6" s="4" t="s">
        <v>113</v>
      </c>
      <c r="T6" s="22">
        <v>4</v>
      </c>
      <c r="U6" s="37" t="s">
        <v>114</v>
      </c>
    </row>
    <row r="7" spans="1:21">
      <c r="R7" s="22">
        <v>6</v>
      </c>
      <c r="S7" s="4" t="s">
        <v>115</v>
      </c>
      <c r="T7" s="24">
        <v>5</v>
      </c>
      <c r="U7" s="38" t="s">
        <v>116</v>
      </c>
    </row>
    <row r="8" spans="1:21">
      <c r="R8" s="22">
        <v>7</v>
      </c>
      <c r="S8" s="23" t="s">
        <v>117</v>
      </c>
    </row>
    <row r="9" spans="1:21">
      <c r="R9" s="22">
        <v>8</v>
      </c>
      <c r="S9" s="23" t="s">
        <v>118</v>
      </c>
    </row>
    <row r="10" spans="1:21">
      <c r="R10" s="22">
        <v>9</v>
      </c>
      <c r="S10" s="23" t="s">
        <v>119</v>
      </c>
    </row>
    <row r="11" spans="1:21">
      <c r="R11" s="22">
        <v>10</v>
      </c>
      <c r="S11" s="23" t="s">
        <v>120</v>
      </c>
    </row>
    <row r="12" spans="1:21">
      <c r="R12" s="22">
        <v>11</v>
      </c>
      <c r="S12" s="23" t="s">
        <v>121</v>
      </c>
    </row>
    <row r="13" spans="1:21">
      <c r="R13" s="24">
        <v>12</v>
      </c>
      <c r="S13" s="25" t="s">
        <v>122</v>
      </c>
    </row>
    <row r="14" spans="1:21">
      <c r="R14" s="3"/>
      <c r="S14" s="3"/>
    </row>
  </sheetData>
  <hyperlinks>
    <hyperlink ref="D3" r:id="rId1" display="mailto:yxy5293@psu.edu" xr:uid="{73371EE0-C785-F644-B6CB-629F55EFD275}"/>
    <hyperlink ref="D2" r:id="rId2" display="mailto:abc123@psu.edu" xr:uid="{0153D02D-7C3F-184A-A367-85FEF6877871}"/>
    <hyperlink ref="D4" r:id="rId3" xr:uid="{911729EC-C409-744C-9BE9-9CB98330C6FB}"/>
    <hyperlink ref="D5" r:id="rId4" display="mailto:santaclause@np.edu" xr:uid="{32B30FD7-5DD3-5847-99CF-32CC59EC236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E33B-00C9-EB40-9F43-ADC9967187A7}">
  <dimension ref="A1:G25"/>
  <sheetViews>
    <sheetView zoomScale="110" zoomScaleNormal="110" workbookViewId="0">
      <pane ySplit="1" topLeftCell="A2" activePane="bottomLeft" state="frozen"/>
      <selection pane="bottomLeft" activeCell="G4" sqref="G4"/>
    </sheetView>
  </sheetViews>
  <sheetFormatPr defaultColWidth="11" defaultRowHeight="15.95"/>
  <cols>
    <col min="1" max="1" width="11.5" bestFit="1" customWidth="1"/>
    <col min="2" max="2" width="11.625" customWidth="1"/>
    <col min="3" max="3" width="11.5" bestFit="1" customWidth="1"/>
    <col min="4" max="4" width="14.875" bestFit="1" customWidth="1"/>
  </cols>
  <sheetData>
    <row r="1" spans="1:7" s="1" customFormat="1">
      <c r="A1" s="1" t="s">
        <v>35</v>
      </c>
      <c r="B1" s="1" t="s">
        <v>123</v>
      </c>
      <c r="C1" s="1" t="s">
        <v>7</v>
      </c>
      <c r="D1" s="1" t="s">
        <v>124</v>
      </c>
      <c r="E1" s="1" t="s">
        <v>125</v>
      </c>
      <c r="F1" s="1" t="s">
        <v>126</v>
      </c>
      <c r="G1" s="1" t="s">
        <v>127</v>
      </c>
    </row>
    <row r="2" spans="1:7">
      <c r="A2">
        <v>1</v>
      </c>
      <c r="B2" s="8">
        <v>43678</v>
      </c>
      <c r="C2" t="s">
        <v>20</v>
      </c>
      <c r="D2">
        <v>1</v>
      </c>
      <c r="E2">
        <v>1</v>
      </c>
      <c r="F2">
        <f>MONTH(B2)</f>
        <v>8</v>
      </c>
      <c r="G2">
        <f>YEAR(B2)</f>
        <v>2019</v>
      </c>
    </row>
    <row r="3" spans="1:7">
      <c r="A3">
        <v>2</v>
      </c>
      <c r="B3" s="8">
        <v>43679</v>
      </c>
      <c r="C3" t="s">
        <v>29</v>
      </c>
      <c r="D3">
        <v>1</v>
      </c>
      <c r="E3">
        <v>1</v>
      </c>
      <c r="F3">
        <f t="shared" ref="F3:F24" si="0">MONTH(B3)</f>
        <v>8</v>
      </c>
      <c r="G3">
        <f t="shared" ref="G3:G24" si="1">YEAR(B3)</f>
        <v>2019</v>
      </c>
    </row>
    <row r="4" spans="1:7">
      <c r="A4">
        <v>3</v>
      </c>
      <c r="B4" s="8">
        <v>43680</v>
      </c>
      <c r="C4" t="s">
        <v>52</v>
      </c>
      <c r="D4">
        <v>1</v>
      </c>
      <c r="E4">
        <v>1</v>
      </c>
      <c r="F4">
        <f t="shared" si="0"/>
        <v>8</v>
      </c>
      <c r="G4">
        <f t="shared" si="1"/>
        <v>2019</v>
      </c>
    </row>
    <row r="5" spans="1:7">
      <c r="A5">
        <v>4</v>
      </c>
      <c r="B5" s="8">
        <v>43687</v>
      </c>
      <c r="C5" t="s">
        <v>20</v>
      </c>
      <c r="D5">
        <v>1</v>
      </c>
      <c r="E5">
        <v>0</v>
      </c>
      <c r="F5">
        <f t="shared" si="0"/>
        <v>8</v>
      </c>
      <c r="G5">
        <f t="shared" si="1"/>
        <v>2019</v>
      </c>
    </row>
    <row r="6" spans="1:7">
      <c r="A6">
        <v>5</v>
      </c>
      <c r="B6" s="8">
        <v>43688</v>
      </c>
      <c r="C6" t="s">
        <v>29</v>
      </c>
      <c r="D6">
        <v>1</v>
      </c>
      <c r="E6">
        <v>0</v>
      </c>
      <c r="F6">
        <f t="shared" si="0"/>
        <v>8</v>
      </c>
      <c r="G6">
        <f t="shared" si="1"/>
        <v>2019</v>
      </c>
    </row>
    <row r="7" spans="1:7">
      <c r="A7">
        <v>6</v>
      </c>
      <c r="B7" s="8">
        <v>43689</v>
      </c>
      <c r="C7" t="s">
        <v>52</v>
      </c>
      <c r="D7">
        <v>1</v>
      </c>
      <c r="E7">
        <v>0</v>
      </c>
      <c r="F7">
        <f t="shared" si="0"/>
        <v>8</v>
      </c>
      <c r="G7">
        <f t="shared" si="1"/>
        <v>2019</v>
      </c>
    </row>
    <row r="8" spans="1:7">
      <c r="A8">
        <v>7</v>
      </c>
      <c r="B8" s="8">
        <v>43697</v>
      </c>
      <c r="C8" t="s">
        <v>20</v>
      </c>
      <c r="D8">
        <v>0</v>
      </c>
      <c r="E8">
        <v>0</v>
      </c>
      <c r="F8">
        <f t="shared" si="0"/>
        <v>8</v>
      </c>
      <c r="G8">
        <f t="shared" si="1"/>
        <v>2019</v>
      </c>
    </row>
    <row r="9" spans="1:7">
      <c r="A9">
        <v>8</v>
      </c>
      <c r="B9" s="8">
        <v>43698</v>
      </c>
      <c r="C9" t="s">
        <v>29</v>
      </c>
      <c r="D9">
        <v>0</v>
      </c>
      <c r="E9">
        <v>0</v>
      </c>
      <c r="F9">
        <f t="shared" si="0"/>
        <v>8</v>
      </c>
      <c r="G9">
        <f t="shared" si="1"/>
        <v>2019</v>
      </c>
    </row>
    <row r="10" spans="1:7">
      <c r="A10">
        <v>9</v>
      </c>
      <c r="B10" s="8">
        <v>43699</v>
      </c>
      <c r="C10" t="s">
        <v>52</v>
      </c>
      <c r="D10">
        <v>0</v>
      </c>
      <c r="E10">
        <v>0</v>
      </c>
      <c r="F10">
        <f t="shared" si="0"/>
        <v>8</v>
      </c>
      <c r="G10">
        <f t="shared" si="1"/>
        <v>2019</v>
      </c>
    </row>
    <row r="13" spans="1:7">
      <c r="A13" s="2">
        <v>95</v>
      </c>
      <c r="B13" s="30">
        <v>43693</v>
      </c>
      <c r="C13" t="s">
        <v>20</v>
      </c>
      <c r="D13">
        <v>1</v>
      </c>
      <c r="E13">
        <v>1</v>
      </c>
      <c r="F13">
        <f t="shared" si="0"/>
        <v>8</v>
      </c>
      <c r="G13">
        <f t="shared" si="1"/>
        <v>2019</v>
      </c>
    </row>
    <row r="14" spans="1:7">
      <c r="A14" s="2">
        <v>122</v>
      </c>
      <c r="B14" s="30">
        <v>43722</v>
      </c>
      <c r="C14" t="s">
        <v>29</v>
      </c>
      <c r="D14">
        <v>0</v>
      </c>
      <c r="F14">
        <f t="shared" si="0"/>
        <v>9</v>
      </c>
      <c r="G14">
        <f t="shared" si="1"/>
        <v>2019</v>
      </c>
    </row>
    <row r="15" spans="1:7">
      <c r="A15" s="2">
        <v>132</v>
      </c>
      <c r="B15" s="30">
        <v>43702</v>
      </c>
      <c r="C15" t="s">
        <v>52</v>
      </c>
      <c r="D15">
        <v>1</v>
      </c>
      <c r="E15">
        <v>0</v>
      </c>
      <c r="F15">
        <f t="shared" si="0"/>
        <v>8</v>
      </c>
      <c r="G15">
        <f t="shared" si="1"/>
        <v>2019</v>
      </c>
    </row>
    <row r="16" spans="1:7">
      <c r="A16" s="2">
        <v>145</v>
      </c>
      <c r="B16" s="30">
        <v>43684</v>
      </c>
      <c r="C16" t="s">
        <v>52</v>
      </c>
      <c r="D16">
        <v>1</v>
      </c>
      <c r="E16">
        <v>1</v>
      </c>
      <c r="F16">
        <f t="shared" si="0"/>
        <v>8</v>
      </c>
      <c r="G16">
        <f t="shared" si="1"/>
        <v>2019</v>
      </c>
    </row>
    <row r="17" spans="1:7">
      <c r="A17" s="42"/>
      <c r="B17" s="42"/>
      <c r="C17" s="42"/>
      <c r="D17" s="42"/>
      <c r="E17" s="42"/>
      <c r="F17" s="42"/>
      <c r="G17" s="42"/>
    </row>
    <row r="19" spans="1:7">
      <c r="A19" s="2">
        <f>'Master ID'!A10</f>
        <v>1</v>
      </c>
      <c r="B19" s="8">
        <v>43594</v>
      </c>
      <c r="C19" t="str">
        <f>'Master ID'!I10</f>
        <v>BPD</v>
      </c>
      <c r="D19">
        <f ca="1">COUNTIF(B19,"&lt;"&amp;TODAY())</f>
        <v>1</v>
      </c>
      <c r="E19">
        <f ca="1">COUNTIFS(D19,1,'Master ID'!G10,"Yes")</f>
        <v>1</v>
      </c>
      <c r="F19">
        <f t="shared" si="0"/>
        <v>5</v>
      </c>
      <c r="G19">
        <f t="shared" si="1"/>
        <v>2019</v>
      </c>
    </row>
    <row r="20" spans="1:7">
      <c r="A20" s="2">
        <f>'Master ID'!A11</f>
        <v>2</v>
      </c>
      <c r="B20" s="8">
        <v>43597</v>
      </c>
      <c r="C20" t="str">
        <f>'Master ID'!I11</f>
        <v>SAD</v>
      </c>
      <c r="D20">
        <f ca="1">COUNTIF(B20,"&lt;"&amp;TODAY())</f>
        <v>1</v>
      </c>
      <c r="E20">
        <f ca="1">COUNTIFS(D20,1,'Master ID'!G11,"Yes")</f>
        <v>1</v>
      </c>
      <c r="F20">
        <f t="shared" si="0"/>
        <v>5</v>
      </c>
      <c r="G20">
        <f t="shared" si="1"/>
        <v>2019</v>
      </c>
    </row>
    <row r="21" spans="1:7">
      <c r="A21" s="2">
        <f>'Master ID'!A12</f>
        <v>3</v>
      </c>
      <c r="B21" s="8">
        <v>43586</v>
      </c>
      <c r="C21" t="str">
        <f>'Master ID'!I12</f>
        <v>HC</v>
      </c>
      <c r="D21">
        <f t="shared" ref="D21:D24" ca="1" si="2">COUNTIF(B21,"&lt;"&amp;TODAY())</f>
        <v>1</v>
      </c>
      <c r="E21">
        <f ca="1">COUNTIFS(D21,1,'Master ID'!G12,"Yes")</f>
        <v>1</v>
      </c>
      <c r="F21">
        <f t="shared" si="0"/>
        <v>5</v>
      </c>
      <c r="G21">
        <f t="shared" si="1"/>
        <v>2019</v>
      </c>
    </row>
    <row r="22" spans="1:7">
      <c r="A22" s="2">
        <f>'Master ID'!A13</f>
        <v>4</v>
      </c>
      <c r="B22" s="8">
        <v>43585</v>
      </c>
      <c r="C22" t="str">
        <f>'Master ID'!I13</f>
        <v>HC</v>
      </c>
      <c r="D22">
        <f t="shared" ca="1" si="2"/>
        <v>1</v>
      </c>
      <c r="E22">
        <f ca="1">COUNTIFS(D22,1,'Master ID'!G13,"Yes")</f>
        <v>0</v>
      </c>
      <c r="F22">
        <f t="shared" si="0"/>
        <v>4</v>
      </c>
      <c r="G22">
        <f t="shared" si="1"/>
        <v>2019</v>
      </c>
    </row>
    <row r="23" spans="1:7">
      <c r="A23" s="2">
        <f>'Master ID'!A14</f>
        <v>5</v>
      </c>
      <c r="B23" s="8">
        <v>43595</v>
      </c>
      <c r="C23" t="str">
        <f>'Master ID'!I14</f>
        <v>SAD</v>
      </c>
      <c r="D23">
        <f t="shared" ca="1" si="2"/>
        <v>1</v>
      </c>
      <c r="E23">
        <f ca="1">COUNTIFS(D23,1,'Master ID'!G14,"Yes")</f>
        <v>1</v>
      </c>
      <c r="F23">
        <f t="shared" si="0"/>
        <v>5</v>
      </c>
      <c r="G23">
        <f t="shared" si="1"/>
        <v>2019</v>
      </c>
    </row>
    <row r="24" spans="1:7">
      <c r="A24" s="2">
        <f>'Master ID'!A15</f>
        <v>6</v>
      </c>
      <c r="B24" s="8">
        <v>43617</v>
      </c>
      <c r="C24" t="str">
        <f>'Master ID'!I15</f>
        <v>BPD</v>
      </c>
      <c r="D24">
        <f t="shared" ca="1" si="2"/>
        <v>1</v>
      </c>
      <c r="E24">
        <f ca="1">COUNTIFS(D24,1,'Master ID'!G15,"Yes")</f>
        <v>1</v>
      </c>
      <c r="F24">
        <f t="shared" si="0"/>
        <v>6</v>
      </c>
      <c r="G24">
        <f t="shared" si="1"/>
        <v>2019</v>
      </c>
    </row>
    <row r="25" spans="1:7">
      <c r="A25" t="s">
        <v>128</v>
      </c>
      <c r="B25" t="s">
        <v>129</v>
      </c>
      <c r="C25" t="s">
        <v>128</v>
      </c>
      <c r="D25" t="s">
        <v>130</v>
      </c>
      <c r="E25" t="s">
        <v>131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A505-299B-F543-83C3-4859FA4717C8}">
  <dimension ref="A1:O80"/>
  <sheetViews>
    <sheetView workbookViewId="0">
      <pane ySplit="1" topLeftCell="A2" activePane="bottomLeft" state="frozen"/>
      <selection pane="bottomLeft" activeCell="G21" sqref="G21"/>
    </sheetView>
  </sheetViews>
  <sheetFormatPr defaultColWidth="11" defaultRowHeight="15.95"/>
  <cols>
    <col min="8" max="8" width="11.625" bestFit="1" customWidth="1"/>
    <col min="9" max="9" width="12.625" bestFit="1" customWidth="1"/>
    <col min="10" max="10" width="12" bestFit="1" customWidth="1"/>
    <col min="14" max="14" width="12.625" bestFit="1" customWidth="1"/>
    <col min="15" max="15" width="6.875" customWidth="1"/>
  </cols>
  <sheetData>
    <row r="1" spans="1:15" s="1" customFormat="1">
      <c r="A1" s="1" t="s">
        <v>132</v>
      </c>
      <c r="B1" s="1" t="s">
        <v>133</v>
      </c>
      <c r="C1" s="1" t="s">
        <v>132</v>
      </c>
      <c r="D1" s="1" t="s">
        <v>7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N1" s="40" t="s">
        <v>140</v>
      </c>
      <c r="O1" s="41"/>
    </row>
    <row r="2" spans="1:15">
      <c r="A2">
        <v>1</v>
      </c>
      <c r="B2" t="s">
        <v>141</v>
      </c>
      <c r="D2" t="s">
        <v>20</v>
      </c>
      <c r="E2">
        <v>0</v>
      </c>
      <c r="F2">
        <f>COUNTIFS(Flow!F:F,4,Flow!G:G,2019,Flow!C:C,"BPD",Flow!D:D,0)</f>
        <v>0</v>
      </c>
      <c r="G2">
        <f>COUNTIFS(Flow!F:F,4,Flow!G:G,2019,Flow!C:C,"BPD",Flow!D:D,1,Flow!E:E,1)</f>
        <v>0</v>
      </c>
      <c r="H2">
        <f>SUM(E$2:E2)</f>
        <v>0</v>
      </c>
      <c r="I2">
        <f>SUM(F$2:F2)</f>
        <v>0</v>
      </c>
      <c r="J2">
        <f>SUM(G$2:G2)</f>
        <v>0</v>
      </c>
      <c r="N2" s="39" t="s">
        <v>142</v>
      </c>
      <c r="O2" s="23">
        <v>39</v>
      </c>
    </row>
    <row r="3" spans="1:15">
      <c r="A3">
        <v>1</v>
      </c>
      <c r="B3" t="s">
        <v>143</v>
      </c>
      <c r="D3" t="s">
        <v>20</v>
      </c>
      <c r="E3">
        <v>0</v>
      </c>
      <c r="F3">
        <f ca="1">COUNTIFS(Flow!F:F,5,Flow!G:G,2019,Flow!C:C,"BPD",Flow!D:D,0)</f>
        <v>0</v>
      </c>
      <c r="G3">
        <f ca="1">COUNTIFS(Flow!F:F,5,Flow!G:G,2019,Flow!C:C,"BPD",Flow!D:D,1,Flow!E:E,1)</f>
        <v>1</v>
      </c>
      <c r="H3">
        <f>SUM(E$2:E3)</f>
        <v>0</v>
      </c>
      <c r="I3">
        <f ca="1">SUM(F$2:F3)</f>
        <v>0</v>
      </c>
      <c r="J3">
        <f ca="1">SUM(G$2:G3)</f>
        <v>1</v>
      </c>
      <c r="N3" s="22" t="s">
        <v>20</v>
      </c>
      <c r="O3" s="23">
        <v>13</v>
      </c>
    </row>
    <row r="4" spans="1:15">
      <c r="A4">
        <v>1</v>
      </c>
      <c r="B4" t="s">
        <v>144</v>
      </c>
      <c r="D4" t="s">
        <v>20</v>
      </c>
      <c r="E4">
        <v>0</v>
      </c>
      <c r="F4">
        <f ca="1">COUNTIFS(Flow!F:F,6,Flow!G:G,2019,Flow!C:C,"BPD",Flow!D:D,0)</f>
        <v>0</v>
      </c>
      <c r="G4">
        <f ca="1">COUNTIFS(Flow!F:F,6,Flow!G:G,2019,Flow!C:C,"BPD",Flow!D:D,1,Flow!E:E,1)</f>
        <v>1</v>
      </c>
      <c r="H4">
        <f>SUM(E$2:E4)</f>
        <v>0</v>
      </c>
      <c r="I4">
        <f ca="1">SUM(F$2:F4)</f>
        <v>0</v>
      </c>
      <c r="J4">
        <f ca="1">SUM(G$2:G4)</f>
        <v>2</v>
      </c>
      <c r="N4" s="22" t="s">
        <v>52</v>
      </c>
      <c r="O4" s="23">
        <v>13</v>
      </c>
    </row>
    <row r="5" spans="1:15">
      <c r="A5">
        <v>1</v>
      </c>
      <c r="B5" t="s">
        <v>145</v>
      </c>
      <c r="D5" t="s">
        <v>20</v>
      </c>
      <c r="E5">
        <v>0</v>
      </c>
      <c r="F5">
        <f>COUNTIFS(Flow!F:F,7,Flow!G:G,2019,Flow!C:C,"BPD",Flow!D:D,0)</f>
        <v>0</v>
      </c>
      <c r="G5">
        <f>COUNTIFS(Flow!F:F,7,Flow!G:G,2019,Flow!C:C,"BPD",Flow!D:D,1,Flow!E:E,1)</f>
        <v>0</v>
      </c>
      <c r="H5">
        <f>SUM(E$2:E5)</f>
        <v>0</v>
      </c>
      <c r="I5">
        <f ca="1">SUM(F$2:F5)</f>
        <v>0</v>
      </c>
      <c r="J5">
        <f ca="1">SUM(G$2:G5)</f>
        <v>2</v>
      </c>
      <c r="N5" s="22" t="s">
        <v>29</v>
      </c>
      <c r="O5" s="23">
        <v>13</v>
      </c>
    </row>
    <row r="6" spans="1:15">
      <c r="A6">
        <v>1</v>
      </c>
      <c r="B6" t="s">
        <v>146</v>
      </c>
      <c r="D6" t="s">
        <v>20</v>
      </c>
      <c r="E6">
        <v>1</v>
      </c>
      <c r="F6">
        <f>COUNTIFS(Flow!F:F,8,Flow!G:G,2019,Flow!C:C,"BPD",Flow!D:D,0)</f>
        <v>1</v>
      </c>
      <c r="G6">
        <f>COUNTIFS(Flow!F:F,8,Flow!G:G,2019,Flow!C:C,"BPD",Flow!D:D,1,Flow!E:E,1)</f>
        <v>2</v>
      </c>
      <c r="H6">
        <f>SUM(E$2:E6)</f>
        <v>1</v>
      </c>
      <c r="I6">
        <f ca="1">SUM(F$2:F6)</f>
        <v>1</v>
      </c>
      <c r="J6">
        <f ca="1">SUM(G$2:G6)</f>
        <v>4</v>
      </c>
      <c r="L6" t="e">
        <f ca="1">SUMIFS(Flow!B1,Flow!C1, "&gt;=" &amp; DATE(2019,8,1),_xludf.date,"&lt;=" &amp; DATE(2019,8,31))</f>
        <v>#NAME?</v>
      </c>
      <c r="N6" s="22"/>
      <c r="O6" s="23"/>
    </row>
    <row r="7" spans="1:15">
      <c r="A7">
        <v>1</v>
      </c>
      <c r="B7" t="s">
        <v>147</v>
      </c>
      <c r="D7" t="s">
        <v>20</v>
      </c>
      <c r="E7">
        <v>1</v>
      </c>
      <c r="F7">
        <f>COUNTIFS(Flow!F:F,9,Flow!G:G,2019,Flow!C:C,"BPD",Flow!D:D,0)</f>
        <v>0</v>
      </c>
      <c r="G7">
        <f>COUNTIFS(Flow!F:F,9,Flow!G:G,2019,Flow!C:C,"BPD",Flow!D:D,1,Flow!E:E,1)</f>
        <v>0</v>
      </c>
      <c r="H7">
        <f>SUM(E$2:E7)</f>
        <v>2</v>
      </c>
      <c r="I7">
        <f ca="1">SUM(F$2:F7)</f>
        <v>1</v>
      </c>
      <c r="J7">
        <f ca="1">SUM(G$2:G7)</f>
        <v>4</v>
      </c>
      <c r="N7" s="39" t="s">
        <v>148</v>
      </c>
      <c r="O7" s="23">
        <v>63</v>
      </c>
    </row>
    <row r="8" spans="1:15">
      <c r="A8">
        <v>1</v>
      </c>
      <c r="B8" t="s">
        <v>149</v>
      </c>
      <c r="D8" t="s">
        <v>20</v>
      </c>
      <c r="E8">
        <v>2</v>
      </c>
      <c r="F8">
        <f>COUNTIFS(Flow!F:F,10,Flow!G:G,2019,Flow!C:C,"BPD",Flow!D:D,0)</f>
        <v>0</v>
      </c>
      <c r="G8">
        <f>COUNTIFS(Flow!F:F,10,Flow!G:G,2019,Flow!C:C,"BPD",Flow!D:D,1,Flow!E:E,1)</f>
        <v>0</v>
      </c>
      <c r="H8">
        <f>SUM(E$2:E8)</f>
        <v>4</v>
      </c>
      <c r="I8">
        <f ca="1">SUM(F$2:F8)</f>
        <v>1</v>
      </c>
      <c r="J8">
        <f ca="1">SUM(G$2:G8)</f>
        <v>4</v>
      </c>
      <c r="N8" s="22" t="s">
        <v>20</v>
      </c>
      <c r="O8" s="23">
        <v>21</v>
      </c>
    </row>
    <row r="9" spans="1:15">
      <c r="A9">
        <v>1</v>
      </c>
      <c r="B9" t="s">
        <v>150</v>
      </c>
      <c r="D9" t="s">
        <v>20</v>
      </c>
      <c r="E9">
        <v>2</v>
      </c>
      <c r="F9">
        <f>COUNTIFS(Flow!F:F,11,Flow!G:G,2019,Flow!C:C,"BPD",Flow!D:D,0)</f>
        <v>0</v>
      </c>
      <c r="G9">
        <f>COUNTIFS(Flow!F:F,11,Flow!G:G,2019,Flow!C:C,"BPD",Flow!D:D,1,Flow!E:E,1)</f>
        <v>0</v>
      </c>
      <c r="H9">
        <f>SUM(E$2:E9)</f>
        <v>6</v>
      </c>
      <c r="I9">
        <f ca="1">SUM(F$2:F9)</f>
        <v>1</v>
      </c>
      <c r="J9">
        <f ca="1">SUM(G$2:G9)</f>
        <v>4</v>
      </c>
      <c r="N9" s="22" t="s">
        <v>52</v>
      </c>
      <c r="O9" s="23">
        <v>21</v>
      </c>
    </row>
    <row r="10" spans="1:15">
      <c r="A10">
        <v>1</v>
      </c>
      <c r="B10" t="s">
        <v>151</v>
      </c>
      <c r="D10" t="s">
        <v>20</v>
      </c>
      <c r="E10">
        <v>1</v>
      </c>
      <c r="F10">
        <f>COUNTIFS(Flow!F:F,12,Flow!G:G,2019,Flow!C:C,"BPD",Flow!D:D,0)</f>
        <v>0</v>
      </c>
      <c r="G10">
        <f>COUNTIFS(Flow!F:F,12,Flow!G:G,2019,Flow!C:C,"BPD",Flow!D:D,1,Flow!E:E,1)</f>
        <v>0</v>
      </c>
      <c r="H10">
        <f>SUM(E$2:E10)</f>
        <v>7</v>
      </c>
      <c r="I10">
        <f ca="1">SUM(F$2:F10)</f>
        <v>1</v>
      </c>
      <c r="J10">
        <f ca="1">SUM(G$2:G10)</f>
        <v>4</v>
      </c>
      <c r="N10" s="22" t="s">
        <v>29</v>
      </c>
      <c r="O10" s="23">
        <v>21</v>
      </c>
    </row>
    <row r="11" spans="1:15">
      <c r="A11">
        <v>1</v>
      </c>
      <c r="B11" t="s">
        <v>152</v>
      </c>
      <c r="D11" t="s">
        <v>20</v>
      </c>
      <c r="E11">
        <v>2</v>
      </c>
      <c r="F11">
        <f>COUNTIFS(Flow!F:F,1,Flow!G:G,2020,Flow!C:C,"BPD",Flow!D:D,0)</f>
        <v>0</v>
      </c>
      <c r="G11">
        <f>COUNTIFS(Flow!F:F,1,Flow!G:G,2020,Flow!C:C,"BPD",Flow!D:D,1,Flow!E:E,1)</f>
        <v>0</v>
      </c>
      <c r="H11">
        <f>SUM(E$2:E11)</f>
        <v>9</v>
      </c>
      <c r="I11">
        <f ca="1">SUM(F$2:F11)</f>
        <v>1</v>
      </c>
      <c r="J11">
        <f ca="1">SUM(G$2:G11)</f>
        <v>4</v>
      </c>
      <c r="N11" s="22" t="s">
        <v>153</v>
      </c>
      <c r="O11" s="23">
        <v>23</v>
      </c>
    </row>
    <row r="12" spans="1:15">
      <c r="A12">
        <v>1</v>
      </c>
      <c r="B12" t="s">
        <v>154</v>
      </c>
      <c r="D12" t="s">
        <v>20</v>
      </c>
      <c r="E12">
        <v>2</v>
      </c>
      <c r="F12">
        <f>COUNTIFS(Flow!F:F,2,Flow!G:G,2020,Flow!C:C,"BPD",Flow!D:D,0)</f>
        <v>0</v>
      </c>
      <c r="G12">
        <f>COUNTIFS(Flow!F:F,2,Flow!G:G,2020,Flow!C:C,"BPD",Flow!D:D,1,Flow!E:E,1)</f>
        <v>0</v>
      </c>
      <c r="H12">
        <f>SUM(E$2:E12)</f>
        <v>11</v>
      </c>
      <c r="I12">
        <f ca="1">SUM(F$2:F12)</f>
        <v>1</v>
      </c>
      <c r="J12">
        <f ca="1">SUM(G$2:G12)</f>
        <v>4</v>
      </c>
      <c r="N12" s="22"/>
      <c r="O12" s="23"/>
    </row>
    <row r="13" spans="1:15">
      <c r="A13">
        <v>1</v>
      </c>
      <c r="B13" t="s">
        <v>155</v>
      </c>
      <c r="D13" t="s">
        <v>20</v>
      </c>
      <c r="E13">
        <v>2</v>
      </c>
      <c r="F13">
        <f>COUNTIFS(Flow!F:F,3,Flow!G:G,2020,Flow!C:C,"BPD",Flow!D:D,0)</f>
        <v>0</v>
      </c>
      <c r="G13">
        <f>COUNTIFS(Flow!F:F,3,Flow!G:G,2020,Flow!C:C,"BPD",Flow!D:D,1,Flow!E:E,1)</f>
        <v>0</v>
      </c>
      <c r="H13">
        <f>SUM(E$2:E13)</f>
        <v>13</v>
      </c>
      <c r="I13">
        <f ca="1">SUM(F$2:F13)</f>
        <v>1</v>
      </c>
      <c r="J13">
        <f ca="1">SUM(G$2:G13)</f>
        <v>4</v>
      </c>
      <c r="N13" s="39" t="s">
        <v>156</v>
      </c>
      <c r="O13" s="23">
        <v>63</v>
      </c>
    </row>
    <row r="14" spans="1:15">
      <c r="B14" s="1" t="s">
        <v>157</v>
      </c>
      <c r="C14" s="1"/>
      <c r="D14" s="1" t="s">
        <v>20</v>
      </c>
      <c r="E14">
        <f>SUM(E2:E13)</f>
        <v>13</v>
      </c>
      <c r="N14" s="22" t="s">
        <v>20</v>
      </c>
      <c r="O14" s="23">
        <v>21</v>
      </c>
    </row>
    <row r="15" spans="1:15">
      <c r="A15">
        <v>1</v>
      </c>
      <c r="B15" s="5" t="s">
        <v>141</v>
      </c>
      <c r="C15" s="5"/>
      <c r="D15" s="4" t="s">
        <v>52</v>
      </c>
      <c r="E15" s="4">
        <v>0</v>
      </c>
      <c r="F15" s="4">
        <f ca="1">COUNTIFS(Flow!F:F,4,Flow!G:G,2019,Flow!C:C,"HC",Flow!D:D,0)</f>
        <v>0</v>
      </c>
      <c r="G15" s="3">
        <f ca="1">COUNTIFS(Flow!F:F,4,Flow!G:G,2019,Flow!C:C,"HC",Flow!D:D,1,Flow!E:E,1)</f>
        <v>0</v>
      </c>
      <c r="H15" s="4">
        <f>SUM(E$15:E15)</f>
        <v>0</v>
      </c>
      <c r="I15" s="4">
        <f ca="1">SUM(F$15:F15)</f>
        <v>0</v>
      </c>
      <c r="J15" s="4">
        <f ca="1">SUM(G$15:G15)</f>
        <v>0</v>
      </c>
      <c r="N15" s="22" t="s">
        <v>52</v>
      </c>
      <c r="O15" s="23">
        <v>21</v>
      </c>
    </row>
    <row r="16" spans="1:15">
      <c r="A16">
        <v>1</v>
      </c>
      <c r="B16" s="2" t="s">
        <v>143</v>
      </c>
      <c r="C16" s="2"/>
      <c r="D16" s="4" t="s">
        <v>52</v>
      </c>
      <c r="E16">
        <v>0</v>
      </c>
      <c r="F16">
        <f ca="1">COUNTIFS(Flow!F:F,5,Flow!G:G,2019,Flow!C:C,"HC",Flow!D:D,0)</f>
        <v>0</v>
      </c>
      <c r="G16">
        <f ca="1">COUNTIFS(Flow!F:F,5,Flow!G:G,2019,Flow!C:C,"HC",Flow!D:D,1,Flow!E:E,1)</f>
        <v>1</v>
      </c>
      <c r="H16" s="4">
        <f>SUM(E$15:E16)</f>
        <v>0</v>
      </c>
      <c r="I16" s="4">
        <f ca="1">SUM(F$15:F16)</f>
        <v>0</v>
      </c>
      <c r="J16" s="4">
        <f ca="1">SUM(G$15:G16)</f>
        <v>1</v>
      </c>
      <c r="N16" s="22" t="s">
        <v>29</v>
      </c>
      <c r="O16" s="23">
        <v>21</v>
      </c>
    </row>
    <row r="17" spans="1:15">
      <c r="A17">
        <v>1</v>
      </c>
      <c r="B17" s="2" t="s">
        <v>144</v>
      </c>
      <c r="C17" s="2"/>
      <c r="D17" s="4" t="s">
        <v>52</v>
      </c>
      <c r="E17">
        <v>0</v>
      </c>
      <c r="F17">
        <f>COUNTIFS(Flow!F:F,6,Flow!G:G,2019,Flow!C:C,"HC",Flow!D:D,0)</f>
        <v>0</v>
      </c>
      <c r="G17">
        <f>COUNTIFS(Flow!F:F,6,Flow!G:G,2019,Flow!C:C,"HC",Flow!D:D,1,Flow!E:E,1)</f>
        <v>0</v>
      </c>
      <c r="H17" s="4">
        <f>SUM(E$15:E17)</f>
        <v>0</v>
      </c>
      <c r="I17" s="4">
        <f ca="1">SUM(F$15:F17)</f>
        <v>0</v>
      </c>
      <c r="J17" s="4">
        <f ca="1">SUM(G$15:G17)</f>
        <v>1</v>
      </c>
      <c r="N17" s="22" t="s">
        <v>153</v>
      </c>
      <c r="O17" s="23">
        <v>40</v>
      </c>
    </row>
    <row r="18" spans="1:15">
      <c r="A18">
        <v>1</v>
      </c>
      <c r="B18" s="2" t="s">
        <v>145</v>
      </c>
      <c r="C18" s="2"/>
      <c r="D18" s="4" t="s">
        <v>52</v>
      </c>
      <c r="E18">
        <v>0</v>
      </c>
      <c r="F18">
        <f>COUNTIFS(Flow!F:F,7,Flow!G:G,2019,Flow!C:C,"HC",Flow!D:D,0)</f>
        <v>0</v>
      </c>
      <c r="G18">
        <f>COUNTIFS(Flow!F:F,7,Flow!G:G,2019,Flow!C:C,"HC",Flow!D:D,1,Flow!E:E,1)</f>
        <v>0</v>
      </c>
      <c r="H18" s="4">
        <f>SUM(E$15:E18)</f>
        <v>0</v>
      </c>
      <c r="I18" s="4">
        <f ca="1">SUM(F$15:F18)</f>
        <v>0</v>
      </c>
      <c r="J18" s="4">
        <f ca="1">SUM(G$15:G18)</f>
        <v>1</v>
      </c>
      <c r="N18" s="22"/>
      <c r="O18" s="23"/>
    </row>
    <row r="19" spans="1:15">
      <c r="A19">
        <v>1</v>
      </c>
      <c r="B19" s="2" t="s">
        <v>146</v>
      </c>
      <c r="C19" s="2"/>
      <c r="D19" s="4" t="s">
        <v>52</v>
      </c>
      <c r="E19">
        <v>1</v>
      </c>
      <c r="F19">
        <f>COUNTIFS(Flow!F:F,8,Flow!G:G,2019,Flow!C:C,"HC",Flow!D:D,0)</f>
        <v>1</v>
      </c>
      <c r="G19">
        <f>COUNTIFS(Flow!F:F,8,Flow!G:G,2019,Flow!C:C,"HC",Flow!D:D,1,Flow!E:E,1)</f>
        <v>2</v>
      </c>
      <c r="H19" s="4">
        <f>SUM(E$15:E19)</f>
        <v>1</v>
      </c>
      <c r="I19" s="4">
        <f ca="1">SUM(F$15:F19)</f>
        <v>1</v>
      </c>
      <c r="J19" s="4">
        <f ca="1">SUM(G$15:G19)</f>
        <v>3</v>
      </c>
      <c r="N19" s="39" t="s">
        <v>158</v>
      </c>
      <c r="O19" s="23">
        <v>57</v>
      </c>
    </row>
    <row r="20" spans="1:15">
      <c r="A20">
        <v>1</v>
      </c>
      <c r="B20" s="2" t="s">
        <v>147</v>
      </c>
      <c r="C20" s="2"/>
      <c r="D20" s="4" t="s">
        <v>52</v>
      </c>
      <c r="E20">
        <v>1</v>
      </c>
      <c r="F20">
        <f>COUNTIFS(Flow!F:F,9,Flow!G:G,2019,Flow!C:C,"HC",Flow!D:D,0)</f>
        <v>0</v>
      </c>
      <c r="G20">
        <f>COUNTIFS(Flow!F:F,9,Flow!G:G,2019,Flow!C:C,"HC",Flow!D:D,1,Flow!E:E,1)</f>
        <v>0</v>
      </c>
      <c r="H20" s="4">
        <f>SUM(E$15:E20)</f>
        <v>2</v>
      </c>
      <c r="I20" s="4">
        <f ca="1">SUM(F$15:F20)</f>
        <v>1</v>
      </c>
      <c r="J20" s="4">
        <f ca="1">SUM(G$15:G20)</f>
        <v>3</v>
      </c>
      <c r="N20" s="22" t="s">
        <v>20</v>
      </c>
      <c r="O20" s="23">
        <v>19</v>
      </c>
    </row>
    <row r="21" spans="1:15">
      <c r="A21">
        <v>1</v>
      </c>
      <c r="B21" s="2" t="s">
        <v>149</v>
      </c>
      <c r="C21" s="2"/>
      <c r="D21" s="4" t="s">
        <v>52</v>
      </c>
      <c r="E21">
        <v>2</v>
      </c>
      <c r="F21">
        <f>COUNTIFS(Flow!F:F,10,Flow!G:G,2019,Flow!C:C,"HC",Flow!D:D,0)</f>
        <v>0</v>
      </c>
      <c r="G21">
        <f>COUNTIFS(Flow!F:F,10,Flow!G:G,2019,Flow!C:C,"HC",Flow!D:D,1,Flow!E:E,1)</f>
        <v>0</v>
      </c>
      <c r="H21" s="4">
        <f>SUM(E$15:E21)</f>
        <v>4</v>
      </c>
      <c r="I21" s="4">
        <f ca="1">SUM(F$15:F21)</f>
        <v>1</v>
      </c>
      <c r="J21" s="4">
        <f ca="1">SUM(G$15:G21)</f>
        <v>3</v>
      </c>
      <c r="N21" s="22" t="s">
        <v>52</v>
      </c>
      <c r="O21" s="23">
        <v>19</v>
      </c>
    </row>
    <row r="22" spans="1:15">
      <c r="A22">
        <v>1</v>
      </c>
      <c r="B22" s="2" t="s">
        <v>150</v>
      </c>
      <c r="C22" s="2"/>
      <c r="D22" s="4" t="s">
        <v>52</v>
      </c>
      <c r="E22">
        <v>2</v>
      </c>
      <c r="F22">
        <f>COUNTIFS(Flow!F:F,11,Flow!G:G,2019,Flow!C:C,"HC",Flow!D:D,0)</f>
        <v>0</v>
      </c>
      <c r="G22">
        <f>COUNTIFS(Flow!F:F,11,Flow!G:G,2019,Flow!C:C,"HC",Flow!D:D,1,Flow!E:E,1)</f>
        <v>0</v>
      </c>
      <c r="H22" s="4">
        <f>SUM(E$15:E22)</f>
        <v>6</v>
      </c>
      <c r="I22" s="4">
        <f ca="1">SUM(F$15:F22)</f>
        <v>1</v>
      </c>
      <c r="J22" s="4">
        <f ca="1">SUM(G$15:G22)</f>
        <v>3</v>
      </c>
      <c r="N22" s="22" t="s">
        <v>29</v>
      </c>
      <c r="O22" s="23">
        <v>19</v>
      </c>
    </row>
    <row r="23" spans="1:15">
      <c r="A23">
        <v>1</v>
      </c>
      <c r="B23" s="2" t="s">
        <v>151</v>
      </c>
      <c r="C23" s="2"/>
      <c r="D23" s="4" t="s">
        <v>52</v>
      </c>
      <c r="E23">
        <v>1</v>
      </c>
      <c r="F23">
        <f>COUNTIFS(Flow!F:F,12,Flow!G:G,2019,Flow!C:C,"HC",Flow!D:D,0)</f>
        <v>0</v>
      </c>
      <c r="G23">
        <f>COUNTIFS(Flow!F:F,12,Flow!G:G,2019,Flow!C:C,"HC",Flow!D:D,1,Flow!E:E,1)</f>
        <v>0</v>
      </c>
      <c r="H23" s="4">
        <f>SUM(E$15:E23)</f>
        <v>7</v>
      </c>
      <c r="I23" s="4">
        <f ca="1">SUM(F$15:F23)</f>
        <v>1</v>
      </c>
      <c r="J23" s="4">
        <f ca="1">SUM(G$15:G23)</f>
        <v>3</v>
      </c>
      <c r="N23" s="22" t="s">
        <v>153</v>
      </c>
      <c r="O23" s="23">
        <v>42</v>
      </c>
    </row>
    <row r="24" spans="1:15">
      <c r="A24">
        <v>1</v>
      </c>
      <c r="B24" s="2" t="s">
        <v>152</v>
      </c>
      <c r="C24" s="2"/>
      <c r="D24" s="4" t="s">
        <v>52</v>
      </c>
      <c r="E24">
        <v>2</v>
      </c>
      <c r="F24">
        <f>COUNTIFS(Flow!F:F,1,Flow!G:G,2020,Flow!C:C,"HC",Flow!D:D,0)</f>
        <v>0</v>
      </c>
      <c r="G24">
        <f>COUNTIFS(Flow!F:F,1,Flow!G:G,2020,Flow!C:C,"HC",Flow!D:D,1,Flow!E:E,1)</f>
        <v>0</v>
      </c>
      <c r="H24" s="4">
        <f>SUM(E$15:E24)</f>
        <v>9</v>
      </c>
      <c r="I24" s="4">
        <f ca="1">SUM(F$15:F24)</f>
        <v>1</v>
      </c>
      <c r="J24" s="4">
        <f ca="1">SUM(G$15:G24)</f>
        <v>3</v>
      </c>
      <c r="N24" s="22"/>
      <c r="O24" s="23"/>
    </row>
    <row r="25" spans="1:15">
      <c r="A25">
        <v>1</v>
      </c>
      <c r="B25" s="2" t="s">
        <v>154</v>
      </c>
      <c r="C25" s="2"/>
      <c r="D25" s="4" t="s">
        <v>52</v>
      </c>
      <c r="E25">
        <v>2</v>
      </c>
      <c r="F25">
        <f>COUNTIFS(Flow!F:F,2,Flow!G:G,2020,Flow!C:C,"HC",Flow!D:D,0)</f>
        <v>0</v>
      </c>
      <c r="G25">
        <f>COUNTIFS(Flow!F:F,2,Flow!G:G,2020,Flow!C:C,"HC",Flow!D:D,1,Flow!E:E,1)</f>
        <v>0</v>
      </c>
      <c r="H25" s="4">
        <f>SUM(E$15:E25)</f>
        <v>11</v>
      </c>
      <c r="I25" s="4">
        <f ca="1">SUM(F$15:F25)</f>
        <v>1</v>
      </c>
      <c r="J25" s="4">
        <f ca="1">SUM(G$15:G25)</f>
        <v>3</v>
      </c>
      <c r="N25" s="39" t="s">
        <v>159</v>
      </c>
      <c r="O25" s="23"/>
    </row>
    <row r="26" spans="1:15">
      <c r="A26">
        <v>1</v>
      </c>
      <c r="B26" s="2" t="s">
        <v>155</v>
      </c>
      <c r="C26" s="2"/>
      <c r="D26" s="4" t="s">
        <v>52</v>
      </c>
      <c r="E26">
        <v>2</v>
      </c>
      <c r="F26">
        <f>COUNTIFS(Flow!F:F,3,Flow!G:G,2020,Flow!C:C,"HC",Flow!D:D,0)</f>
        <v>0</v>
      </c>
      <c r="G26">
        <f>COUNTIFS(Flow!F:F,3,Flow!G:G,2020,Flow!C:C,"HC",Flow!D:D,1,Flow!E:E,1)</f>
        <v>0</v>
      </c>
      <c r="H26" s="4">
        <f>SUM(E$15:E26)</f>
        <v>13</v>
      </c>
      <c r="I26" s="4">
        <f ca="1">SUM(F$15:F26)</f>
        <v>1</v>
      </c>
      <c r="J26" s="4">
        <f ca="1">SUM(G$15:G26)</f>
        <v>3</v>
      </c>
      <c r="N26" s="24" t="s">
        <v>153</v>
      </c>
      <c r="O26" s="25">
        <v>42</v>
      </c>
    </row>
    <row r="27" spans="1:15">
      <c r="B27" s="6" t="s">
        <v>157</v>
      </c>
      <c r="C27" s="6"/>
      <c r="D27" s="1" t="s">
        <v>52</v>
      </c>
      <c r="E27">
        <f>SUM(E15:E26)</f>
        <v>13</v>
      </c>
    </row>
    <row r="28" spans="1:15">
      <c r="A28">
        <v>1</v>
      </c>
      <c r="B28" s="2" t="s">
        <v>141</v>
      </c>
      <c r="C28" s="2"/>
      <c r="D28" s="3" t="s">
        <v>29</v>
      </c>
      <c r="E28">
        <v>0</v>
      </c>
      <c r="F28">
        <f>COUNTIFS(Flow!F:F,4,Flow!G:G,2019,Flow!C:C,"SAD",Flow!D:D,0)</f>
        <v>0</v>
      </c>
      <c r="G28">
        <f>COUNTIFS(Flow!F:F,4,Flow!G:G,2019,Flow!C:C,"SAD",Flow!D:D,1,Flow!E:E,1)</f>
        <v>0</v>
      </c>
      <c r="H28">
        <f>SUM(E$28:E28)</f>
        <v>0</v>
      </c>
      <c r="I28">
        <f>SUM(F$28:F28)</f>
        <v>0</v>
      </c>
      <c r="J28">
        <f>SUM(G$28:G28)</f>
        <v>0</v>
      </c>
    </row>
    <row r="29" spans="1:15">
      <c r="A29">
        <v>1</v>
      </c>
      <c r="B29" s="2" t="s">
        <v>143</v>
      </c>
      <c r="C29" s="2"/>
      <c r="D29" s="3" t="s">
        <v>29</v>
      </c>
      <c r="E29">
        <v>0</v>
      </c>
      <c r="F29">
        <f ca="1">COUNTIFS(Flow!F:F,5,Flow!G:G,2019,Flow!C:C,"SAD",Flow!D:D,0)</f>
        <v>0</v>
      </c>
      <c r="G29">
        <f ca="1">COUNTIFS(Flow!F:F,5,Flow!G:G,2019,Flow!C:C,"SAD",Flow!D:D,1,Flow!E:E,1)</f>
        <v>2</v>
      </c>
      <c r="H29">
        <f>SUM(E$28:E29)</f>
        <v>0</v>
      </c>
      <c r="I29">
        <f ca="1">SUM(F$28:F29)</f>
        <v>0</v>
      </c>
      <c r="J29">
        <f ca="1">SUM(G$28:G29)</f>
        <v>2</v>
      </c>
    </row>
    <row r="30" spans="1:15">
      <c r="A30">
        <v>1</v>
      </c>
      <c r="B30" s="2" t="s">
        <v>144</v>
      </c>
      <c r="C30" s="2"/>
      <c r="D30" s="3" t="s">
        <v>29</v>
      </c>
      <c r="E30">
        <v>0</v>
      </c>
      <c r="F30">
        <f>COUNTIFS(Flow!F:F,6,Flow!G:G,2019,Flow!C:C,"SAD",Flow!D:D,0)</f>
        <v>0</v>
      </c>
      <c r="G30">
        <f>COUNTIFS(Flow!F:F,6,Flow!G:G,2019,Flow!C:C,"SAD",Flow!D:D,1,Flow!E:E,1)</f>
        <v>0</v>
      </c>
      <c r="H30">
        <f>SUM(E$28:E30)</f>
        <v>0</v>
      </c>
      <c r="I30">
        <f ca="1">SUM(F$28:F30)</f>
        <v>0</v>
      </c>
      <c r="J30">
        <f ca="1">SUM(G$28:G30)</f>
        <v>2</v>
      </c>
    </row>
    <row r="31" spans="1:15">
      <c r="A31">
        <v>1</v>
      </c>
      <c r="B31" s="2" t="s">
        <v>145</v>
      </c>
      <c r="C31" s="2"/>
      <c r="D31" s="3" t="s">
        <v>29</v>
      </c>
      <c r="E31">
        <v>0</v>
      </c>
      <c r="F31">
        <f>COUNTIFS(Flow!F:F,7,Flow!G:G,2019,Flow!C:C,"SAD",Flow!D:D,0)</f>
        <v>0</v>
      </c>
      <c r="G31">
        <f>COUNTIFS(Flow!F:F,7,Flow!G:G,2019,Flow!C:C,"SAD",Flow!D:D,1,Flow!E:E,1)</f>
        <v>0</v>
      </c>
      <c r="H31">
        <f>SUM(E$28:E31)</f>
        <v>0</v>
      </c>
      <c r="I31">
        <f ca="1">SUM(F$28:F31)</f>
        <v>0</v>
      </c>
      <c r="J31">
        <f ca="1">SUM(G$28:G31)</f>
        <v>2</v>
      </c>
    </row>
    <row r="32" spans="1:15">
      <c r="A32">
        <v>1</v>
      </c>
      <c r="B32" s="2" t="s">
        <v>146</v>
      </c>
      <c r="C32" s="2"/>
      <c r="D32" s="3" t="s">
        <v>29</v>
      </c>
      <c r="E32">
        <v>1</v>
      </c>
      <c r="F32">
        <f>COUNTIFS(Flow!F:F,8,Flow!G:G,2019,Flow!C:C,"SAD",Flow!D:D,0)</f>
        <v>1</v>
      </c>
      <c r="G32">
        <f>COUNTIFS(Flow!F:F,8,Flow!G:G,2019,Flow!C:C,"SAD",Flow!D:D,1,Flow!E:E,1)</f>
        <v>1</v>
      </c>
      <c r="H32">
        <f>SUM(E$28:E32)</f>
        <v>1</v>
      </c>
      <c r="I32">
        <f ca="1">SUM(F$28:F32)</f>
        <v>1</v>
      </c>
      <c r="J32">
        <f ca="1">SUM(G$28:G32)</f>
        <v>3</v>
      </c>
    </row>
    <row r="33" spans="1:10">
      <c r="A33">
        <v>1</v>
      </c>
      <c r="B33" s="2" t="s">
        <v>147</v>
      </c>
      <c r="C33" s="2"/>
      <c r="D33" s="3" t="s">
        <v>29</v>
      </c>
      <c r="E33">
        <v>1</v>
      </c>
      <c r="F33">
        <f>COUNTIFS(Flow!F:F,9,Flow!G:G,2019,Flow!C:C,"SAD",Flow!D:D,0)</f>
        <v>1</v>
      </c>
      <c r="G33">
        <f>COUNTIFS(Flow!F:F,9,Flow!G:G,2019,Flow!C:C,"SAD",Flow!D:D,1,Flow!E:E,1)</f>
        <v>0</v>
      </c>
      <c r="H33">
        <f>SUM(E$28:E33)</f>
        <v>2</v>
      </c>
      <c r="I33">
        <f ca="1">SUM(F$28:F33)</f>
        <v>2</v>
      </c>
      <c r="J33">
        <f ca="1">SUM(G$28:G33)</f>
        <v>3</v>
      </c>
    </row>
    <row r="34" spans="1:10">
      <c r="A34">
        <v>1</v>
      </c>
      <c r="B34" s="2" t="s">
        <v>149</v>
      </c>
      <c r="C34" s="2"/>
      <c r="D34" s="3" t="s">
        <v>29</v>
      </c>
      <c r="E34">
        <v>2</v>
      </c>
      <c r="F34">
        <f>COUNTIFS(Flow!F:F,10,Flow!G:G,2019,Flow!C:C,"SAD",Flow!D:D,0)</f>
        <v>0</v>
      </c>
      <c r="G34">
        <f>COUNTIFS(Flow!F:F,10,Flow!G:G,2019,Flow!C:C,"SAD",Flow!D:D,1,Flow!E:E,1)</f>
        <v>0</v>
      </c>
      <c r="H34">
        <f>SUM(E$28:E34)</f>
        <v>4</v>
      </c>
      <c r="I34">
        <f ca="1">SUM(F$28:F34)</f>
        <v>2</v>
      </c>
      <c r="J34">
        <f ca="1">SUM(G$28:G34)</f>
        <v>3</v>
      </c>
    </row>
    <row r="35" spans="1:10">
      <c r="A35">
        <v>1</v>
      </c>
      <c r="B35" s="2" t="s">
        <v>150</v>
      </c>
      <c r="C35" s="2"/>
      <c r="D35" s="3" t="s">
        <v>29</v>
      </c>
      <c r="E35">
        <v>2</v>
      </c>
      <c r="F35">
        <f>COUNTIFS(Flow!F:F,11,Flow!G:G,2019,Flow!C:C,"SAD",Flow!D:D,0)</f>
        <v>0</v>
      </c>
      <c r="G35">
        <f>COUNTIFS(Flow!F:F,11,Flow!G:G,2019,Flow!C:C,"SAD",Flow!D:D,1,Flow!E:E,1)</f>
        <v>0</v>
      </c>
      <c r="H35">
        <f>SUM(E$28:E35)</f>
        <v>6</v>
      </c>
      <c r="I35">
        <f ca="1">SUM(F$28:F35)</f>
        <v>2</v>
      </c>
      <c r="J35">
        <f ca="1">SUM(G$28:G35)</f>
        <v>3</v>
      </c>
    </row>
    <row r="36" spans="1:10">
      <c r="A36">
        <v>1</v>
      </c>
      <c r="B36" s="2" t="s">
        <v>151</v>
      </c>
      <c r="C36" s="2"/>
      <c r="D36" s="3" t="s">
        <v>29</v>
      </c>
      <c r="E36">
        <v>1</v>
      </c>
      <c r="F36">
        <f>COUNTIFS(Flow!F:F,12,Flow!G:G,2019,Flow!C:C,"SAD",Flow!D:D,0)</f>
        <v>0</v>
      </c>
      <c r="G36">
        <f>COUNTIFS(Flow!F:F,12,Flow!G:G,2019,Flow!C:C,"SAD",Flow!D:D,1,Flow!E:E,1)</f>
        <v>0</v>
      </c>
      <c r="H36">
        <f>SUM(E$28:E36)</f>
        <v>7</v>
      </c>
      <c r="I36">
        <f ca="1">SUM(F$28:F36)</f>
        <v>2</v>
      </c>
      <c r="J36">
        <f ca="1">SUM(G$28:G36)</f>
        <v>3</v>
      </c>
    </row>
    <row r="37" spans="1:10">
      <c r="A37">
        <v>1</v>
      </c>
      <c r="B37" s="2" t="s">
        <v>152</v>
      </c>
      <c r="C37" s="2"/>
      <c r="D37" s="3" t="s">
        <v>29</v>
      </c>
      <c r="E37">
        <v>2</v>
      </c>
      <c r="F37">
        <f>COUNTIFS(Flow!F:F,1,Flow!G:G,2020,Flow!C:C,"SAD",Flow!D:D,0)</f>
        <v>0</v>
      </c>
      <c r="G37">
        <f>COUNTIFS(Flow!F:F,1,Flow!G:G,2020,Flow!C:C,"SAD",Flow!D:D,1,Flow!E:E,1)</f>
        <v>0</v>
      </c>
      <c r="H37">
        <f>SUM(E$28:E37)</f>
        <v>9</v>
      </c>
      <c r="I37">
        <f ca="1">SUM(F$28:F37)</f>
        <v>2</v>
      </c>
      <c r="J37">
        <f ca="1">SUM(G$28:G37)</f>
        <v>3</v>
      </c>
    </row>
    <row r="38" spans="1:10">
      <c r="A38">
        <v>1</v>
      </c>
      <c r="B38" s="2" t="s">
        <v>154</v>
      </c>
      <c r="C38" s="2"/>
      <c r="D38" s="3" t="s">
        <v>29</v>
      </c>
      <c r="E38">
        <v>2</v>
      </c>
      <c r="F38">
        <f>COUNTIFS(Flow!F:F,2,Flow!G:G,2020,Flow!C:C,"SAD",Flow!D:D,0)</f>
        <v>0</v>
      </c>
      <c r="G38">
        <f>COUNTIFS(Flow!F:F,2,Flow!G:G,2020,Flow!C:C,"SAD",Flow!D:D,1,Flow!E:E,1)</f>
        <v>0</v>
      </c>
      <c r="H38">
        <f>SUM(E$28:E38)</f>
        <v>11</v>
      </c>
      <c r="I38">
        <f ca="1">SUM(F$28:F38)</f>
        <v>2</v>
      </c>
      <c r="J38">
        <f ca="1">SUM(G$28:G38)</f>
        <v>3</v>
      </c>
    </row>
    <row r="39" spans="1:10">
      <c r="A39">
        <v>1</v>
      </c>
      <c r="B39" s="2" t="s">
        <v>155</v>
      </c>
      <c r="C39" s="2"/>
      <c r="D39" s="3" t="s">
        <v>29</v>
      </c>
      <c r="E39">
        <v>2</v>
      </c>
      <c r="F39">
        <f>COUNTIFS(Flow!F:F,3,Flow!G:G,2020,Flow!C:C,"SAD",Flow!D:D,0)</f>
        <v>0</v>
      </c>
      <c r="G39">
        <f>COUNTIFS(Flow!F:F,3,Flow!G:G,2020,Flow!C:C,"SAD",Flow!D:D,1,Flow!E:E,1)</f>
        <v>0</v>
      </c>
      <c r="H39">
        <f>SUM(E$28:E39)</f>
        <v>13</v>
      </c>
      <c r="I39">
        <f ca="1">SUM(F$28:F39)</f>
        <v>2</v>
      </c>
      <c r="J39">
        <f ca="1">SUM(G$28:G39)</f>
        <v>3</v>
      </c>
    </row>
    <row r="40" spans="1:10">
      <c r="A40" s="9"/>
      <c r="B40" s="10" t="s">
        <v>157</v>
      </c>
      <c r="C40" s="10"/>
      <c r="D40" s="10" t="s">
        <v>29</v>
      </c>
      <c r="E40" s="9">
        <f>SUM(E28:E39)</f>
        <v>13</v>
      </c>
      <c r="F40" s="9"/>
      <c r="G40" s="9"/>
      <c r="H40" s="9"/>
      <c r="I40" s="9"/>
      <c r="J40" s="9"/>
    </row>
    <row r="41" spans="1:10">
      <c r="A41" s="4"/>
      <c r="B41" s="6"/>
      <c r="C41" s="6"/>
      <c r="D41" s="6"/>
      <c r="E41" s="4"/>
      <c r="F41" s="4"/>
      <c r="G41" s="4"/>
      <c r="H41" s="4"/>
      <c r="I41" s="4"/>
      <c r="J41" s="4"/>
    </row>
    <row r="42" spans="1:10">
      <c r="A42" s="3">
        <v>2</v>
      </c>
      <c r="B42" s="2" t="s">
        <v>141</v>
      </c>
      <c r="C42" s="2"/>
      <c r="D42" t="s">
        <v>20</v>
      </c>
    </row>
    <row r="43" spans="1:10">
      <c r="A43" s="3">
        <v>2</v>
      </c>
      <c r="B43" s="2" t="s">
        <v>143</v>
      </c>
      <c r="C43" s="2"/>
      <c r="D43" t="s">
        <v>20</v>
      </c>
    </row>
    <row r="44" spans="1:10">
      <c r="A44" s="3">
        <v>2</v>
      </c>
      <c r="B44" s="2" t="s">
        <v>144</v>
      </c>
      <c r="C44" s="2"/>
      <c r="D44" t="s">
        <v>20</v>
      </c>
    </row>
    <row r="45" spans="1:10">
      <c r="A45" s="3">
        <v>2</v>
      </c>
      <c r="B45" s="2" t="s">
        <v>145</v>
      </c>
      <c r="C45" s="2"/>
      <c r="D45" t="s">
        <v>20</v>
      </c>
    </row>
    <row r="46" spans="1:10">
      <c r="A46" s="3">
        <v>2</v>
      </c>
      <c r="B46" s="2" t="s">
        <v>146</v>
      </c>
      <c r="C46" s="2"/>
      <c r="D46" t="s">
        <v>20</v>
      </c>
    </row>
    <row r="47" spans="1:10">
      <c r="A47" s="3">
        <v>2</v>
      </c>
      <c r="B47" s="2" t="s">
        <v>147</v>
      </c>
      <c r="C47" s="2"/>
      <c r="D47" t="s">
        <v>20</v>
      </c>
    </row>
    <row r="48" spans="1:10">
      <c r="A48" s="3">
        <v>2</v>
      </c>
      <c r="B48" s="2" t="s">
        <v>149</v>
      </c>
      <c r="C48" s="2"/>
      <c r="D48" t="s">
        <v>20</v>
      </c>
    </row>
    <row r="49" spans="1:4">
      <c r="A49" s="3">
        <v>2</v>
      </c>
      <c r="B49" s="2" t="s">
        <v>150</v>
      </c>
      <c r="C49" s="2"/>
      <c r="D49" t="s">
        <v>20</v>
      </c>
    </row>
    <row r="50" spans="1:4">
      <c r="A50" s="3">
        <v>2</v>
      </c>
      <c r="B50" s="2" t="s">
        <v>151</v>
      </c>
      <c r="C50" s="2"/>
      <c r="D50" t="s">
        <v>20</v>
      </c>
    </row>
    <row r="51" spans="1:4">
      <c r="A51" s="3">
        <v>2</v>
      </c>
      <c r="B51" s="2" t="s">
        <v>152</v>
      </c>
      <c r="C51" s="2"/>
      <c r="D51" t="s">
        <v>20</v>
      </c>
    </row>
    <row r="52" spans="1:4">
      <c r="A52" s="3">
        <v>2</v>
      </c>
      <c r="B52" s="2" t="s">
        <v>154</v>
      </c>
      <c r="C52" s="2"/>
      <c r="D52" t="s">
        <v>20</v>
      </c>
    </row>
    <row r="53" spans="1:4">
      <c r="A53" s="3">
        <v>2</v>
      </c>
      <c r="B53" s="2" t="s">
        <v>155</v>
      </c>
      <c r="C53" s="2"/>
      <c r="D53" t="s">
        <v>20</v>
      </c>
    </row>
    <row r="54" spans="1:4">
      <c r="A54" s="3"/>
      <c r="B54" s="7" t="s">
        <v>157</v>
      </c>
      <c r="C54" s="7"/>
      <c r="D54" s="7" t="s">
        <v>20</v>
      </c>
    </row>
    <row r="55" spans="1:4">
      <c r="A55" s="3">
        <v>2</v>
      </c>
      <c r="B55" s="2" t="s">
        <v>141</v>
      </c>
      <c r="C55" s="2"/>
      <c r="D55" s="2" t="s">
        <v>52</v>
      </c>
    </row>
    <row r="56" spans="1:4">
      <c r="A56" s="3">
        <v>2</v>
      </c>
      <c r="B56" s="2" t="s">
        <v>143</v>
      </c>
      <c r="C56" s="2"/>
      <c r="D56" s="2" t="s">
        <v>52</v>
      </c>
    </row>
    <row r="57" spans="1:4">
      <c r="A57" s="3">
        <v>2</v>
      </c>
      <c r="B57" s="2" t="s">
        <v>144</v>
      </c>
      <c r="C57" s="2"/>
      <c r="D57" s="2" t="s">
        <v>52</v>
      </c>
    </row>
    <row r="58" spans="1:4">
      <c r="A58" s="3">
        <v>2</v>
      </c>
      <c r="B58" s="2" t="s">
        <v>145</v>
      </c>
      <c r="C58" s="2"/>
      <c r="D58" s="2" t="s">
        <v>52</v>
      </c>
    </row>
    <row r="59" spans="1:4">
      <c r="A59" s="3">
        <v>2</v>
      </c>
      <c r="B59" s="2" t="s">
        <v>146</v>
      </c>
      <c r="C59" s="2"/>
      <c r="D59" s="2" t="s">
        <v>52</v>
      </c>
    </row>
    <row r="60" spans="1:4">
      <c r="A60" s="3">
        <v>2</v>
      </c>
      <c r="B60" s="2" t="s">
        <v>147</v>
      </c>
      <c r="C60" s="2"/>
      <c r="D60" s="2" t="s">
        <v>52</v>
      </c>
    </row>
    <row r="61" spans="1:4">
      <c r="A61" s="3">
        <v>2</v>
      </c>
      <c r="B61" s="2" t="s">
        <v>149</v>
      </c>
      <c r="C61" s="2"/>
      <c r="D61" s="2" t="s">
        <v>52</v>
      </c>
    </row>
    <row r="62" spans="1:4">
      <c r="A62" s="3">
        <v>2</v>
      </c>
      <c r="B62" s="2" t="s">
        <v>150</v>
      </c>
      <c r="C62" s="2"/>
      <c r="D62" s="2" t="s">
        <v>52</v>
      </c>
    </row>
    <row r="63" spans="1:4">
      <c r="A63" s="3">
        <v>2</v>
      </c>
      <c r="B63" s="2" t="s">
        <v>151</v>
      </c>
      <c r="C63" s="2"/>
      <c r="D63" s="2" t="s">
        <v>52</v>
      </c>
    </row>
    <row r="64" spans="1:4">
      <c r="A64" s="3">
        <v>2</v>
      </c>
      <c r="B64" s="2" t="s">
        <v>152</v>
      </c>
      <c r="C64" s="2"/>
      <c r="D64" s="2" t="s">
        <v>52</v>
      </c>
    </row>
    <row r="65" spans="1:4">
      <c r="A65" s="3">
        <v>2</v>
      </c>
      <c r="B65" s="2" t="s">
        <v>154</v>
      </c>
      <c r="C65" s="2"/>
      <c r="D65" s="2" t="s">
        <v>52</v>
      </c>
    </row>
    <row r="66" spans="1:4">
      <c r="A66" s="3">
        <v>2</v>
      </c>
      <c r="B66" s="2" t="s">
        <v>155</v>
      </c>
      <c r="C66" s="2"/>
      <c r="D66" s="2" t="s">
        <v>52</v>
      </c>
    </row>
    <row r="67" spans="1:4">
      <c r="B67" s="7" t="s">
        <v>157</v>
      </c>
      <c r="C67" s="7"/>
      <c r="D67" s="7" t="s">
        <v>52</v>
      </c>
    </row>
    <row r="68" spans="1:4">
      <c r="A68">
        <v>2</v>
      </c>
      <c r="B68" s="2" t="s">
        <v>141</v>
      </c>
      <c r="C68" s="2"/>
      <c r="D68" s="2" t="s">
        <v>29</v>
      </c>
    </row>
    <row r="69" spans="1:4">
      <c r="A69">
        <v>2</v>
      </c>
      <c r="B69" s="2" t="s">
        <v>143</v>
      </c>
      <c r="C69" s="2"/>
      <c r="D69" s="2" t="s">
        <v>29</v>
      </c>
    </row>
    <row r="70" spans="1:4">
      <c r="A70">
        <v>2</v>
      </c>
      <c r="B70" s="2" t="s">
        <v>144</v>
      </c>
      <c r="C70" s="2"/>
      <c r="D70" s="2" t="s">
        <v>29</v>
      </c>
    </row>
    <row r="71" spans="1:4">
      <c r="A71">
        <v>2</v>
      </c>
      <c r="B71" s="2" t="s">
        <v>145</v>
      </c>
      <c r="C71" s="2"/>
      <c r="D71" s="2" t="s">
        <v>29</v>
      </c>
    </row>
    <row r="72" spans="1:4">
      <c r="A72">
        <v>2</v>
      </c>
      <c r="B72" s="2" t="s">
        <v>146</v>
      </c>
      <c r="C72" s="2"/>
      <c r="D72" s="2" t="s">
        <v>29</v>
      </c>
    </row>
    <row r="73" spans="1:4">
      <c r="A73">
        <v>2</v>
      </c>
      <c r="B73" s="2" t="s">
        <v>147</v>
      </c>
      <c r="C73" s="2"/>
      <c r="D73" s="2" t="s">
        <v>29</v>
      </c>
    </row>
    <row r="74" spans="1:4">
      <c r="A74">
        <v>2</v>
      </c>
      <c r="B74" s="2" t="s">
        <v>149</v>
      </c>
      <c r="C74" s="2"/>
      <c r="D74" s="2" t="s">
        <v>29</v>
      </c>
    </row>
    <row r="75" spans="1:4">
      <c r="A75">
        <v>2</v>
      </c>
      <c r="B75" s="2" t="s">
        <v>150</v>
      </c>
      <c r="C75" s="2"/>
      <c r="D75" s="2" t="s">
        <v>29</v>
      </c>
    </row>
    <row r="76" spans="1:4">
      <c r="A76">
        <v>2</v>
      </c>
      <c r="B76" s="2" t="s">
        <v>151</v>
      </c>
      <c r="C76" s="2"/>
      <c r="D76" s="2" t="s">
        <v>29</v>
      </c>
    </row>
    <row r="77" spans="1:4">
      <c r="A77">
        <v>2</v>
      </c>
      <c r="B77" s="2" t="s">
        <v>152</v>
      </c>
      <c r="C77" s="2"/>
      <c r="D77" s="2" t="s">
        <v>29</v>
      </c>
    </row>
    <row r="78" spans="1:4">
      <c r="A78">
        <v>2</v>
      </c>
      <c r="B78" s="2" t="s">
        <v>154</v>
      </c>
      <c r="C78" s="2"/>
      <c r="D78" s="2" t="s">
        <v>29</v>
      </c>
    </row>
    <row r="79" spans="1:4">
      <c r="A79">
        <v>2</v>
      </c>
      <c r="B79" s="2" t="s">
        <v>155</v>
      </c>
      <c r="C79" s="2"/>
      <c r="D79" s="2" t="s">
        <v>29</v>
      </c>
    </row>
    <row r="80" spans="1:4">
      <c r="B80" s="7" t="s">
        <v>157</v>
      </c>
      <c r="C80" s="7"/>
      <c r="D80" s="7" t="s">
        <v>29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0A8-67C3-4823-90B3-E79F925240CB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53A2-04B7-4DF1-8F3A-E0B97C47AE3C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1F7B-EE5F-4C66-8351-60AB3D0FF98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C19B-F843-4549-8696-89D33478F65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5902-08C0-4016-89C8-AEC9F464C16D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A8E3-D784-5242-A7B8-BB4553B459F5}">
  <dimension ref="A1:N2"/>
  <sheetViews>
    <sheetView workbookViewId="0">
      <pane ySplit="1" topLeftCell="A2" activePane="bottomLeft" state="frozen"/>
      <selection pane="bottomLeft" activeCell="H5" sqref="H5"/>
    </sheetView>
  </sheetViews>
  <sheetFormatPr defaultColWidth="11" defaultRowHeight="15.95"/>
  <cols>
    <col min="1" max="1" width="12.625" bestFit="1" customWidth="1"/>
    <col min="2" max="2" width="12.5" bestFit="1" customWidth="1"/>
    <col min="3" max="3" width="15.125" bestFit="1" customWidth="1"/>
    <col min="5" max="5" width="12.625" bestFit="1" customWidth="1"/>
    <col min="7" max="7" width="11.375" bestFit="1" customWidth="1"/>
    <col min="13" max="13" width="28" bestFit="1" customWidth="1"/>
    <col min="14" max="14" width="22" bestFit="1" customWidth="1"/>
  </cols>
  <sheetData>
    <row r="1" spans="1:14" s="1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" t="s">
        <v>13</v>
      </c>
    </row>
    <row r="2" spans="1:14">
      <c r="A2" s="15" t="s">
        <v>32</v>
      </c>
      <c r="B2" s="15" t="s">
        <v>15</v>
      </c>
      <c r="C2" s="16" t="s">
        <v>16</v>
      </c>
      <c r="D2" s="15" t="s">
        <v>17</v>
      </c>
      <c r="E2" s="17">
        <v>43556</v>
      </c>
      <c r="F2" s="15" t="s">
        <v>18</v>
      </c>
      <c r="G2" s="15" t="s">
        <v>19</v>
      </c>
      <c r="H2" s="15" t="s">
        <v>20</v>
      </c>
      <c r="I2" s="15">
        <v>44</v>
      </c>
      <c r="J2" s="15">
        <v>12</v>
      </c>
      <c r="K2" s="15">
        <v>1</v>
      </c>
      <c r="L2" s="15" t="s">
        <v>21</v>
      </c>
      <c r="M2" s="15" t="s">
        <v>22</v>
      </c>
      <c r="N2" s="11" t="s">
        <v>33</v>
      </c>
    </row>
  </sheetData>
  <hyperlinks>
    <hyperlink ref="C2" r:id="rId1" display="mailto:abc123@psu.edu" xr:uid="{4516A3B9-8818-1545-B70D-DFB6F02B519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B30-F752-1346-A241-D635983A30E7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ColWidth="11" defaultRowHeight="15.95"/>
  <cols>
    <col min="1" max="1" width="12.625" bestFit="1" customWidth="1"/>
    <col min="2" max="2" width="12.5" bestFit="1" customWidth="1"/>
    <col min="3" max="3" width="15.125" bestFit="1" customWidth="1"/>
    <col min="5" max="5" width="12.625" bestFit="1" customWidth="1"/>
    <col min="7" max="7" width="11.375" bestFit="1" customWidth="1"/>
    <col min="8" max="12" width="11.375" customWidth="1"/>
    <col min="13" max="13" width="28" bestFit="1" customWidth="1"/>
    <col min="14" max="14" width="21.875" bestFit="1" customWidth="1"/>
  </cols>
  <sheetData>
    <row r="1" spans="1:14" s="1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pans="1:14">
      <c r="A2" s="15" t="s">
        <v>32</v>
      </c>
      <c r="B2" s="15" t="s">
        <v>15</v>
      </c>
      <c r="C2" s="16" t="s">
        <v>16</v>
      </c>
      <c r="D2" s="15" t="s">
        <v>17</v>
      </c>
      <c r="E2" s="17">
        <v>43556</v>
      </c>
      <c r="F2" s="15" t="s">
        <v>18</v>
      </c>
      <c r="G2" s="15" t="s">
        <v>19</v>
      </c>
      <c r="H2" s="15" t="s">
        <v>20</v>
      </c>
      <c r="I2" s="15">
        <v>44</v>
      </c>
      <c r="J2" s="15">
        <v>12</v>
      </c>
      <c r="K2" s="15">
        <v>1</v>
      </c>
      <c r="L2" s="15" t="s">
        <v>21</v>
      </c>
      <c r="M2" s="15" t="s">
        <v>22</v>
      </c>
      <c r="N2" s="11" t="s">
        <v>34</v>
      </c>
    </row>
  </sheetData>
  <hyperlinks>
    <hyperlink ref="C2" r:id="rId1" display="mailto:abc123@psu.edu" xr:uid="{115FF072-597F-1F43-9F2B-88EB38A6C90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7C7D-0D0A-254E-B26A-D172B3AE33FD}">
  <dimension ref="A1:T15"/>
  <sheetViews>
    <sheetView workbookViewId="0">
      <pane ySplit="1" topLeftCell="A2" activePane="bottomLeft" state="frozen"/>
      <selection pane="bottomLeft" activeCell="G13" sqref="G13"/>
    </sheetView>
  </sheetViews>
  <sheetFormatPr defaultColWidth="11" defaultRowHeight="15.95"/>
  <cols>
    <col min="2" max="2" width="12.625" bestFit="1" customWidth="1"/>
    <col min="3" max="3" width="12.5" bestFit="1" customWidth="1"/>
    <col min="4" max="4" width="20.875" bestFit="1" customWidth="1"/>
    <col min="6" max="6" width="12.625" bestFit="1" customWidth="1"/>
    <col min="8" max="8" width="18.5" bestFit="1" customWidth="1"/>
    <col min="17" max="17" width="14.5" bestFit="1" customWidth="1"/>
  </cols>
  <sheetData>
    <row r="1" spans="1:20" s="1" customFormat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9" t="s">
        <v>36</v>
      </c>
      <c r="R1" s="20" t="s">
        <v>8</v>
      </c>
      <c r="S1" s="20" t="s">
        <v>9</v>
      </c>
      <c r="T1" s="21" t="s">
        <v>10</v>
      </c>
    </row>
    <row r="2" spans="1:20">
      <c r="A2" s="11">
        <v>999</v>
      </c>
      <c r="B2" s="15" t="s">
        <v>32</v>
      </c>
      <c r="C2" s="15" t="s">
        <v>15</v>
      </c>
      <c r="D2" s="16" t="s">
        <v>16</v>
      </c>
      <c r="E2" s="15" t="s">
        <v>17</v>
      </c>
      <c r="F2" s="17">
        <v>43556</v>
      </c>
      <c r="G2" s="15" t="s">
        <v>18</v>
      </c>
      <c r="H2" s="15" t="s">
        <v>37</v>
      </c>
      <c r="I2" s="11" t="s">
        <v>20</v>
      </c>
      <c r="J2" s="11">
        <v>44</v>
      </c>
      <c r="K2" s="11">
        <v>12</v>
      </c>
      <c r="L2" s="11">
        <v>1</v>
      </c>
      <c r="M2" s="11" t="s">
        <v>21</v>
      </c>
      <c r="N2" s="32"/>
      <c r="O2" s="12"/>
      <c r="P2" s="27"/>
      <c r="Q2" s="22" t="s">
        <v>20</v>
      </c>
      <c r="R2" s="4" t="s">
        <v>38</v>
      </c>
      <c r="S2" s="4" t="s">
        <v>39</v>
      </c>
      <c r="T2" s="23" t="s">
        <v>40</v>
      </c>
    </row>
    <row r="3" spans="1:20">
      <c r="A3">
        <v>95</v>
      </c>
      <c r="B3" t="s">
        <v>41</v>
      </c>
      <c r="C3" t="s">
        <v>42</v>
      </c>
      <c r="D3" s="13" t="s">
        <v>43</v>
      </c>
      <c r="E3" t="s">
        <v>44</v>
      </c>
      <c r="F3" s="8">
        <v>43678</v>
      </c>
      <c r="G3" t="s">
        <v>18</v>
      </c>
      <c r="H3" t="s">
        <v>45</v>
      </c>
      <c r="I3" t="s">
        <v>20</v>
      </c>
      <c r="J3">
        <v>58</v>
      </c>
      <c r="K3">
        <v>17</v>
      </c>
      <c r="L3">
        <v>0</v>
      </c>
      <c r="M3" t="s">
        <v>21</v>
      </c>
      <c r="Q3" s="22" t="s">
        <v>29</v>
      </c>
      <c r="R3" s="4" t="s">
        <v>40</v>
      </c>
      <c r="S3" s="4" t="s">
        <v>40</v>
      </c>
      <c r="T3" s="23" t="s">
        <v>46</v>
      </c>
    </row>
    <row r="4" spans="1:20">
      <c r="A4">
        <v>122</v>
      </c>
      <c r="B4" t="s">
        <v>47</v>
      </c>
      <c r="C4" t="s">
        <v>48</v>
      </c>
      <c r="D4" s="13" t="s">
        <v>49</v>
      </c>
      <c r="E4" t="s">
        <v>50</v>
      </c>
      <c r="F4" s="8">
        <v>43716</v>
      </c>
      <c r="G4" t="s">
        <v>18</v>
      </c>
      <c r="H4" t="s">
        <v>51</v>
      </c>
      <c r="I4" t="s">
        <v>29</v>
      </c>
      <c r="J4">
        <v>12</v>
      </c>
      <c r="K4">
        <v>3</v>
      </c>
      <c r="L4">
        <v>10</v>
      </c>
      <c r="M4" t="s">
        <v>21</v>
      </c>
      <c r="Q4" s="24" t="s">
        <v>52</v>
      </c>
      <c r="R4" s="9" t="s">
        <v>53</v>
      </c>
      <c r="S4" s="9" t="s">
        <v>54</v>
      </c>
      <c r="T4" s="25" t="s">
        <v>54</v>
      </c>
    </row>
    <row r="5" spans="1:20">
      <c r="A5">
        <v>132</v>
      </c>
      <c r="B5" t="s">
        <v>55</v>
      </c>
      <c r="C5" t="s">
        <v>56</v>
      </c>
      <c r="D5" s="13" t="s">
        <v>57</v>
      </c>
      <c r="E5" t="s">
        <v>50</v>
      </c>
      <c r="F5" s="8">
        <v>43687</v>
      </c>
      <c r="G5" t="s">
        <v>27</v>
      </c>
      <c r="H5" t="s">
        <v>58</v>
      </c>
      <c r="I5" t="s">
        <v>52</v>
      </c>
      <c r="J5">
        <v>5</v>
      </c>
      <c r="K5">
        <v>1</v>
      </c>
      <c r="L5">
        <v>3</v>
      </c>
      <c r="M5" t="s">
        <v>21</v>
      </c>
      <c r="O5" s="8"/>
    </row>
    <row r="6" spans="1:20">
      <c r="A6">
        <v>145</v>
      </c>
      <c r="B6" t="s">
        <v>59</v>
      </c>
      <c r="C6" t="s">
        <v>60</v>
      </c>
      <c r="D6" s="13" t="s">
        <v>61</v>
      </c>
      <c r="E6" t="s">
        <v>17</v>
      </c>
      <c r="F6" s="8">
        <v>43680</v>
      </c>
      <c r="G6" t="s">
        <v>18</v>
      </c>
      <c r="H6" t="s">
        <v>62</v>
      </c>
      <c r="I6" t="s">
        <v>52</v>
      </c>
      <c r="J6">
        <v>9</v>
      </c>
      <c r="K6">
        <v>3</v>
      </c>
      <c r="L6">
        <v>2</v>
      </c>
      <c r="M6" t="s">
        <v>21</v>
      </c>
      <c r="O6" s="8"/>
    </row>
    <row r="7" spans="1:20">
      <c r="B7" t="s">
        <v>63</v>
      </c>
      <c r="C7" s="2" t="s">
        <v>64</v>
      </c>
      <c r="D7" s="13" t="s">
        <v>65</v>
      </c>
      <c r="E7" s="2" t="s">
        <v>66</v>
      </c>
      <c r="F7" s="30">
        <v>43584</v>
      </c>
      <c r="G7" s="2" t="s">
        <v>27</v>
      </c>
      <c r="H7" s="2" t="s">
        <v>28</v>
      </c>
      <c r="I7" t="s">
        <v>67</v>
      </c>
      <c r="J7">
        <v>15</v>
      </c>
      <c r="K7">
        <v>7</v>
      </c>
      <c r="L7">
        <v>3</v>
      </c>
      <c r="M7" t="s">
        <v>21</v>
      </c>
      <c r="N7" t="s">
        <v>68</v>
      </c>
    </row>
    <row r="8" spans="1:20">
      <c r="B8" s="2" t="s">
        <v>23</v>
      </c>
      <c r="C8" s="2" t="s">
        <v>24</v>
      </c>
      <c r="D8" s="13" t="s">
        <v>25</v>
      </c>
      <c r="E8" s="2" t="s">
        <v>26</v>
      </c>
      <c r="F8" s="30">
        <v>43459</v>
      </c>
      <c r="G8" s="2" t="s">
        <v>27</v>
      </c>
      <c r="H8" s="2" t="s">
        <v>28</v>
      </c>
      <c r="I8" s="2" t="s">
        <v>29</v>
      </c>
      <c r="J8" s="2">
        <v>12</v>
      </c>
      <c r="K8" s="2">
        <v>4</v>
      </c>
      <c r="L8" s="2">
        <v>9</v>
      </c>
      <c r="M8" s="2" t="s">
        <v>21</v>
      </c>
      <c r="N8" s="2" t="s">
        <v>30</v>
      </c>
      <c r="O8" s="2" t="s">
        <v>31</v>
      </c>
    </row>
    <row r="9" spans="1:20">
      <c r="B9" s="2"/>
      <c r="C9" s="2"/>
      <c r="D9" s="13"/>
      <c r="E9" s="2"/>
      <c r="F9" s="30"/>
      <c r="G9" s="2"/>
      <c r="H9" s="2"/>
      <c r="I9" s="2"/>
      <c r="J9" s="2"/>
      <c r="K9" s="2"/>
      <c r="L9" s="2"/>
      <c r="M9" s="2"/>
      <c r="N9" s="2"/>
      <c r="O9" s="2"/>
    </row>
    <row r="10" spans="1:20">
      <c r="A10">
        <v>1</v>
      </c>
      <c r="B10" t="s">
        <v>69</v>
      </c>
      <c r="G10" t="s">
        <v>18</v>
      </c>
      <c r="I10" t="s">
        <v>20</v>
      </c>
    </row>
    <row r="11" spans="1:20">
      <c r="A11">
        <v>2</v>
      </c>
      <c r="B11" t="s">
        <v>70</v>
      </c>
      <c r="G11" t="s">
        <v>18</v>
      </c>
      <c r="I11" t="s">
        <v>29</v>
      </c>
    </row>
    <row r="12" spans="1:20">
      <c r="A12">
        <v>3</v>
      </c>
      <c r="B12" t="s">
        <v>71</v>
      </c>
      <c r="G12" t="s">
        <v>18</v>
      </c>
      <c r="I12" t="s">
        <v>52</v>
      </c>
    </row>
    <row r="13" spans="1:20">
      <c r="A13">
        <v>4</v>
      </c>
      <c r="B13" t="s">
        <v>72</v>
      </c>
      <c r="G13" t="s">
        <v>27</v>
      </c>
      <c r="I13" t="s">
        <v>52</v>
      </c>
    </row>
    <row r="14" spans="1:20">
      <c r="A14">
        <v>5</v>
      </c>
      <c r="B14" t="s">
        <v>73</v>
      </c>
      <c r="G14" t="s">
        <v>18</v>
      </c>
      <c r="I14" t="s">
        <v>29</v>
      </c>
    </row>
    <row r="15" spans="1:20">
      <c r="A15">
        <v>6</v>
      </c>
      <c r="B15" t="s">
        <v>74</v>
      </c>
      <c r="G15" t="s">
        <v>18</v>
      </c>
      <c r="I15" t="s">
        <v>20</v>
      </c>
    </row>
  </sheetData>
  <hyperlinks>
    <hyperlink ref="D2" r:id="rId1" display="mailto:abc123@psu.edu" xr:uid="{6C8BD95E-1213-2648-B709-E6F2EDCE8189}"/>
    <hyperlink ref="D6" r:id="rId2" xr:uid="{210CDBE7-BBFF-6341-8CD6-628A884EE4C5}"/>
    <hyperlink ref="D5" r:id="rId3" xr:uid="{252EF82C-E22C-F544-BBAB-A9DEC1E818D0}"/>
    <hyperlink ref="D4" r:id="rId4" xr:uid="{839992C5-B600-624F-A0D0-ADE04F3631A3}"/>
    <hyperlink ref="D3" r:id="rId5" xr:uid="{63AC0501-40F2-2D4F-96E8-2B6D57564814}"/>
    <hyperlink ref="D7" r:id="rId6" display="mailto:mbuble@gmail.com" xr:uid="{CEEA1890-4FAD-B94A-8958-2CA958AAB8EC}"/>
    <hyperlink ref="D8" r:id="rId7" display="mailto:santaclause@np.edu" xr:uid="{01479DAA-3BE9-A049-8FD0-294D50F0F9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Parr</cp:lastModifiedBy>
  <cp:revision/>
  <dcterms:created xsi:type="dcterms:W3CDTF">2019-02-26T19:21:38Z</dcterms:created>
  <dcterms:modified xsi:type="dcterms:W3CDTF">2019-12-20T21:10:44Z</dcterms:modified>
  <cp:category/>
  <cp:contentStatus/>
</cp:coreProperties>
</file>