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bh5255/Box/DEPENd/NeuroMAP/Recruitment/Participant Management/Session 1 Check List/"/>
    </mc:Choice>
  </mc:AlternateContent>
  <xr:revisionPtr revIDLastSave="0" documentId="8_{C44AF7A1-0495-014B-81FB-F37D308FAC6B}" xr6:coauthVersionLast="45" xr6:coauthVersionMax="45" xr10:uidLastSave="{00000000-0000-0000-0000-000000000000}"/>
  <bookViews>
    <workbookView xWindow="18980" yWindow="940" windowWidth="28800" windowHeight="19200" xr2:uid="{0E603651-6A07-C641-809B-7E4D286654D6}"/>
  </bookViews>
  <sheets>
    <sheet name="MasterData" sheetId="22" r:id="rId1"/>
    <sheet name="Scheduled" sheetId="23" state="hidden" r:id="rId2"/>
    <sheet name="Tracker" sheetId="8" r:id="rId3"/>
    <sheet name="Invited S1" sheetId="29" r:id="rId4"/>
    <sheet name="Queue" sheetId="28" r:id="rId5"/>
    <sheet name="SONA" sheetId="27" r:id="rId6"/>
    <sheet name="Payment" sheetId="26" r:id="rId7"/>
    <sheet name="Eligibility Helper" sheetId="25" r:id="rId8"/>
    <sheet name="Flow" sheetId="14" r:id="rId9"/>
    <sheet name="RO1 Aggregate" sheetId="15" r:id="rId10"/>
    <sheet name="R01 Timeline" sheetId="21" r:id="rId11"/>
    <sheet name="ID" sheetId="16" state="hidden" r:id="rId12"/>
    <sheet name="Session 1" sheetId="7" state="hidden" r:id="rId13"/>
    <sheet name="Session 2" sheetId="9" state="hidden" r:id="rId14"/>
    <sheet name="Session 3" sheetId="11" state="hidden" r:id="rId15"/>
    <sheet name="Session 4" sheetId="12" state="hidden" r:id="rId16"/>
    <sheet name="Session 5" sheetId="13" state="hidden" r:id="rId17"/>
    <sheet name="SAD Contact Info" sheetId="6" state="hidden" r:id="rId18"/>
  </sheets>
  <definedNames>
    <definedName name="_xlnm._FilterDatabase" localSheetId="0" hidden="1">MasterData!$A$1:$AH$145</definedName>
    <definedName name="_xlnm._FilterDatabase" localSheetId="6" hidden="1">Payment!$A$1:$S$23</definedName>
    <definedName name="_xlnm._FilterDatabase" localSheetId="1" hidden="1">Scheduled!$A$1:$T$18</definedName>
    <definedName name="_xlnm._FilterDatabase" localSheetId="5" hidden="1">SONA!$A$1:$I$263</definedName>
    <definedName name="_xlnm._FilterDatabase" localSheetId="2" hidden="1">Tracker!$A$1:$Y$38</definedName>
    <definedName name="NAME" localSheetId="7">MasterData!$A$1</definedName>
    <definedName name="NAME" localSheetId="0">MasterData!$A$1</definedName>
    <definedName name="NAME" localSheetId="6">MasterData!$A$1</definedName>
    <definedName name="NAME" localSheetId="1">MasterData!$A$1</definedName>
    <definedName name="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8" l="1"/>
  <c r="B44" i="8"/>
  <c r="A15" i="29"/>
  <c r="A21" i="29" l="1"/>
  <c r="A20" i="29"/>
  <c r="A19" i="29"/>
  <c r="A18" i="29"/>
  <c r="A17" i="29"/>
  <c r="A14" i="29" l="1"/>
  <c r="A276" i="22"/>
  <c r="A275" i="22"/>
  <c r="A274" i="22"/>
  <c r="A272" i="22"/>
  <c r="B41" i="26" l="1"/>
  <c r="A41" i="26"/>
  <c r="A271" i="22" l="1"/>
  <c r="A270" i="22"/>
  <c r="A269" i="22"/>
  <c r="A268" i="22"/>
  <c r="A267" i="22"/>
  <c r="A266" i="22"/>
  <c r="A265" i="22"/>
  <c r="A13" i="29" l="1"/>
  <c r="A12" i="29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A264" i="22"/>
  <c r="E29" i="26" l="1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42" i="14" l="1"/>
  <c r="B42" i="14"/>
  <c r="I42" i="14" s="1"/>
  <c r="C42" i="14"/>
  <c r="E42" i="14"/>
  <c r="F42" i="14"/>
  <c r="G42" i="14" s="1"/>
  <c r="H42" i="14"/>
  <c r="A43" i="14"/>
  <c r="B43" i="14"/>
  <c r="I43" i="14" s="1"/>
  <c r="C43" i="14"/>
  <c r="E43" i="14"/>
  <c r="F43" i="14"/>
  <c r="G43" i="14" s="1"/>
  <c r="B43" i="8"/>
  <c r="B42" i="8"/>
  <c r="H43" i="14" l="1"/>
  <c r="E41" i="14"/>
  <c r="C41" i="14"/>
  <c r="B41" i="14"/>
  <c r="I41" i="14" s="1"/>
  <c r="A41" i="14"/>
  <c r="F39" i="14"/>
  <c r="G39" i="14" s="1"/>
  <c r="F40" i="14"/>
  <c r="G40" i="14" s="1"/>
  <c r="E38" i="14"/>
  <c r="E39" i="14"/>
  <c r="E40" i="14"/>
  <c r="C38" i="14"/>
  <c r="C39" i="14"/>
  <c r="C40" i="14"/>
  <c r="B38" i="14"/>
  <c r="H38" i="14" s="1"/>
  <c r="B39" i="14"/>
  <c r="I39" i="14" s="1"/>
  <c r="B40" i="14"/>
  <c r="I40" i="14" s="1"/>
  <c r="A38" i="14"/>
  <c r="A39" i="14"/>
  <c r="A40" i="14"/>
  <c r="F41" i="14" l="1"/>
  <c r="G41" i="14" s="1"/>
  <c r="F38" i="14"/>
  <c r="G38" i="14" s="1"/>
  <c r="H40" i="14"/>
  <c r="I38" i="14"/>
  <c r="H39" i="14"/>
  <c r="H41" i="14"/>
  <c r="B40" i="8"/>
  <c r="B40" i="26" s="1"/>
  <c r="A225" i="22"/>
  <c r="A11" i="29"/>
  <c r="A10" i="29"/>
  <c r="P235" i="22"/>
  <c r="A235" i="22"/>
  <c r="A219" i="22"/>
  <c r="P228" i="22"/>
  <c r="P229" i="22"/>
  <c r="P230" i="22"/>
  <c r="P231" i="22"/>
  <c r="P232" i="22"/>
  <c r="P233" i="22"/>
  <c r="P234" i="22"/>
  <c r="A234" i="22"/>
  <c r="A233" i="22"/>
  <c r="A232" i="22"/>
  <c r="A231" i="22"/>
  <c r="A230" i="22"/>
  <c r="A229" i="22"/>
  <c r="A228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05" i="22"/>
  <c r="P206" i="22"/>
  <c r="P207" i="22"/>
  <c r="P208" i="22"/>
  <c r="P209" i="22"/>
  <c r="P210" i="22"/>
  <c r="P211" i="22"/>
  <c r="P212" i="22"/>
  <c r="P213" i="22"/>
  <c r="P214" i="22"/>
  <c r="P215" i="22"/>
  <c r="A40" i="26"/>
  <c r="B33" i="26"/>
  <c r="B38" i="26"/>
  <c r="B39" i="26"/>
  <c r="B26" i="26"/>
  <c r="A227" i="22"/>
  <c r="A226" i="22"/>
  <c r="A224" i="22"/>
  <c r="A223" i="22"/>
  <c r="A222" i="22"/>
  <c r="A216" i="22"/>
  <c r="A217" i="22"/>
  <c r="A218" i="22"/>
  <c r="A220" i="22"/>
  <c r="A221" i="22"/>
  <c r="A210" i="22"/>
  <c r="A211" i="22"/>
  <c r="A212" i="22"/>
  <c r="A213" i="22"/>
  <c r="A214" i="22"/>
  <c r="A215" i="22"/>
  <c r="A206" i="22"/>
  <c r="A207" i="22"/>
  <c r="A208" i="22"/>
  <c r="A209" i="22"/>
  <c r="A201" i="22"/>
  <c r="A202" i="22"/>
  <c r="A203" i="22"/>
  <c r="A204" i="22"/>
  <c r="A205" i="22"/>
  <c r="A200" i="22"/>
  <c r="A198" i="22"/>
  <c r="A199" i="22"/>
  <c r="P198" i="22"/>
  <c r="P199" i="22"/>
  <c r="P200" i="22"/>
  <c r="P201" i="22"/>
  <c r="P202" i="22"/>
  <c r="P203" i="22"/>
  <c r="P204" i="22"/>
  <c r="A191" i="22"/>
  <c r="A192" i="22"/>
  <c r="A193" i="22"/>
  <c r="A194" i="22"/>
  <c r="A195" i="22"/>
  <c r="A196" i="22"/>
  <c r="A197" i="22"/>
  <c r="A190" i="22"/>
  <c r="P193" i="22"/>
  <c r="P194" i="22"/>
  <c r="P195" i="22"/>
  <c r="P196" i="22"/>
  <c r="P197" i="22"/>
  <c r="A36" i="14"/>
  <c r="B36" i="14"/>
  <c r="H36" i="14" s="1"/>
  <c r="F36" i="14"/>
  <c r="G36" i="14" s="1"/>
  <c r="C36" i="14"/>
  <c r="E36" i="14"/>
  <c r="I36" i="14"/>
  <c r="A37" i="14"/>
  <c r="B37" i="14"/>
  <c r="H37" i="14" s="1"/>
  <c r="C37" i="14"/>
  <c r="E37" i="14"/>
  <c r="B37" i="8"/>
  <c r="B37" i="26" s="1"/>
  <c r="P188" i="22"/>
  <c r="P189" i="22"/>
  <c r="P190" i="22"/>
  <c r="P191" i="22"/>
  <c r="P192" i="22"/>
  <c r="B36" i="8"/>
  <c r="B36" i="26" s="1"/>
  <c r="A186" i="22"/>
  <c r="A187" i="22"/>
  <c r="A188" i="22"/>
  <c r="A189" i="22"/>
  <c r="A185" i="22"/>
  <c r="A176" i="22"/>
  <c r="A177" i="22"/>
  <c r="A178" i="22"/>
  <c r="A179" i="22"/>
  <c r="A180" i="22"/>
  <c r="A181" i="22"/>
  <c r="A182" i="22"/>
  <c r="A183" i="22"/>
  <c r="A184" i="22"/>
  <c r="P183" i="22"/>
  <c r="P184" i="22"/>
  <c r="P185" i="22"/>
  <c r="P186" i="22"/>
  <c r="P187" i="22"/>
  <c r="P180" i="22"/>
  <c r="P181" i="22"/>
  <c r="P182" i="22"/>
  <c r="A7" i="29"/>
  <c r="A6" i="29"/>
  <c r="A5" i="29"/>
  <c r="A3" i="29"/>
  <c r="A2" i="29"/>
  <c r="A34" i="14"/>
  <c r="B34" i="14"/>
  <c r="H34" i="14" s="1"/>
  <c r="C34" i="14"/>
  <c r="E34" i="14"/>
  <c r="A35" i="14"/>
  <c r="B35" i="14"/>
  <c r="H35" i="14" s="1"/>
  <c r="C35" i="14"/>
  <c r="E35" i="14"/>
  <c r="B35" i="8"/>
  <c r="B35" i="26" s="1"/>
  <c r="B34" i="8"/>
  <c r="B34" i="26" s="1"/>
  <c r="F35" i="14"/>
  <c r="G35" i="14" s="1"/>
  <c r="A174" i="22"/>
  <c r="P176" i="22"/>
  <c r="P177" i="22"/>
  <c r="P178" i="22"/>
  <c r="P179" i="22"/>
  <c r="P167" i="22"/>
  <c r="P168" i="22"/>
  <c r="P169" i="22"/>
  <c r="P170" i="22"/>
  <c r="P171" i="22"/>
  <c r="P172" i="22"/>
  <c r="P173" i="22"/>
  <c r="P174" i="22"/>
  <c r="P175" i="22"/>
  <c r="A175" i="22"/>
  <c r="A28" i="14"/>
  <c r="B28" i="14"/>
  <c r="H28" i="14" s="1"/>
  <c r="C28" i="14"/>
  <c r="E28" i="14"/>
  <c r="A29" i="14"/>
  <c r="B29" i="14"/>
  <c r="I29" i="14" s="1"/>
  <c r="C29" i="14"/>
  <c r="E29" i="14"/>
  <c r="A30" i="14"/>
  <c r="B30" i="14"/>
  <c r="I30" i="14" s="1"/>
  <c r="C30" i="14"/>
  <c r="E30" i="14"/>
  <c r="A31" i="14"/>
  <c r="B31" i="14"/>
  <c r="H31" i="14" s="1"/>
  <c r="C31" i="14"/>
  <c r="E31" i="14"/>
  <c r="A32" i="14"/>
  <c r="B32" i="14"/>
  <c r="H32" i="14" s="1"/>
  <c r="C32" i="14"/>
  <c r="E32" i="14"/>
  <c r="A33" i="14"/>
  <c r="B33" i="14"/>
  <c r="H33" i="14" s="1"/>
  <c r="C33" i="14"/>
  <c r="E33" i="14"/>
  <c r="F32" i="14"/>
  <c r="G32" i="14" s="1"/>
  <c r="F30" i="14"/>
  <c r="G30" i="14" s="1"/>
  <c r="P166" i="22"/>
  <c r="A173" i="22"/>
  <c r="A172" i="22"/>
  <c r="A171" i="22"/>
  <c r="A170" i="22"/>
  <c r="A169" i="22"/>
  <c r="A168" i="22"/>
  <c r="A167" i="22"/>
  <c r="B31" i="8"/>
  <c r="B31" i="26" s="1"/>
  <c r="B32" i="8"/>
  <c r="B32" i="26" s="1"/>
  <c r="B30" i="8"/>
  <c r="B30" i="26" s="1"/>
  <c r="B29" i="8"/>
  <c r="B29" i="26" s="1"/>
  <c r="A166" i="22"/>
  <c r="P162" i="22"/>
  <c r="P163" i="22"/>
  <c r="P164" i="22"/>
  <c r="P165" i="22"/>
  <c r="A165" i="22"/>
  <c r="B28" i="8"/>
  <c r="A164" i="22"/>
  <c r="A163" i="22"/>
  <c r="A162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A161" i="22"/>
  <c r="A160" i="22"/>
  <c r="A159" i="22"/>
  <c r="A158" i="22"/>
  <c r="A157" i="22"/>
  <c r="E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8" i="14"/>
  <c r="E19" i="14"/>
  <c r="E20" i="14"/>
  <c r="E21" i="14"/>
  <c r="E22" i="14"/>
  <c r="E23" i="14"/>
  <c r="E24" i="14"/>
  <c r="E25" i="14"/>
  <c r="E26" i="14"/>
  <c r="E27" i="14"/>
  <c r="A156" i="22"/>
  <c r="A155" i="22"/>
  <c r="A154" i="22"/>
  <c r="A153" i="22"/>
  <c r="A152" i="22"/>
  <c r="A151" i="22"/>
  <c r="B24" i="26"/>
  <c r="A150" i="22"/>
  <c r="A149" i="22"/>
  <c r="A148" i="22"/>
  <c r="A147" i="22"/>
  <c r="A146" i="22"/>
  <c r="A27" i="14"/>
  <c r="B27" i="14"/>
  <c r="F27" i="14" s="1"/>
  <c r="G27" i="14" s="1"/>
  <c r="C27" i="14"/>
  <c r="A22" i="14"/>
  <c r="B22" i="14"/>
  <c r="F22" i="14" s="1"/>
  <c r="G22" i="14" s="1"/>
  <c r="C22" i="14"/>
  <c r="A23" i="14"/>
  <c r="B23" i="14"/>
  <c r="I23" i="14" s="1"/>
  <c r="C23" i="14"/>
  <c r="A24" i="14"/>
  <c r="B24" i="14"/>
  <c r="F24" i="14" s="1"/>
  <c r="G24" i="14" s="1"/>
  <c r="C24" i="14"/>
  <c r="A25" i="14"/>
  <c r="B25" i="14"/>
  <c r="I25" i="14" s="1"/>
  <c r="C25" i="14"/>
  <c r="A26" i="14"/>
  <c r="B26" i="14"/>
  <c r="I26" i="14" s="1"/>
  <c r="C26" i="14"/>
  <c r="C21" i="14"/>
  <c r="C20" i="14"/>
  <c r="B21" i="14"/>
  <c r="H21" i="14" s="1"/>
  <c r="A21" i="14"/>
  <c r="B24" i="8"/>
  <c r="B23" i="8"/>
  <c r="B22" i="8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A144" i="22"/>
  <c r="A145" i="22"/>
  <c r="A141" i="22"/>
  <c r="A142" i="22"/>
  <c r="A143" i="22"/>
  <c r="A140" i="22"/>
  <c r="A139" i="22"/>
  <c r="A138" i="22"/>
  <c r="A133" i="22"/>
  <c r="A134" i="22"/>
  <c r="A135" i="22"/>
  <c r="A136" i="22"/>
  <c r="A132" i="22"/>
  <c r="A131" i="22"/>
  <c r="A130" i="22"/>
  <c r="A124" i="22"/>
  <c r="A125" i="22"/>
  <c r="A126" i="22"/>
  <c r="A127" i="22"/>
  <c r="A128" i="22"/>
  <c r="A129" i="22"/>
  <c r="P123" i="22"/>
  <c r="P124" i="22"/>
  <c r="P125" i="22"/>
  <c r="P126" i="22"/>
  <c r="P127" i="22"/>
  <c r="P128" i="22"/>
  <c r="P129" i="22"/>
  <c r="A20" i="14"/>
  <c r="B20" i="14"/>
  <c r="H20" i="14" s="1"/>
  <c r="A123" i="22"/>
  <c r="A18" i="14"/>
  <c r="B18" i="14"/>
  <c r="F18" i="14" s="1"/>
  <c r="G18" i="14" s="1"/>
  <c r="C18" i="14"/>
  <c r="A19" i="14"/>
  <c r="B19" i="14"/>
  <c r="H19" i="14" s="1"/>
  <c r="C19" i="14"/>
  <c r="A17" i="14"/>
  <c r="B17" i="14"/>
  <c r="F17" i="14" s="1"/>
  <c r="G17" i="14" s="1"/>
  <c r="C17" i="14"/>
  <c r="B8" i="26"/>
  <c r="B9" i="26"/>
  <c r="B10" i="26"/>
  <c r="B11" i="26"/>
  <c r="B14" i="26"/>
  <c r="B12" i="25"/>
  <c r="B7" i="23"/>
  <c r="B8" i="23"/>
  <c r="B9" i="23"/>
  <c r="B10" i="23"/>
  <c r="B11" i="23"/>
  <c r="B14" i="23"/>
  <c r="B15" i="23"/>
  <c r="B16" i="23"/>
  <c r="B19" i="23"/>
  <c r="B20" i="23"/>
  <c r="P2" i="22"/>
  <c r="AD2" i="22"/>
  <c r="AE2" i="22"/>
  <c r="AF2" i="22"/>
  <c r="P3" i="22"/>
  <c r="AD3" i="22"/>
  <c r="AE3" i="22"/>
  <c r="AF3" i="22"/>
  <c r="P4" i="22"/>
  <c r="AD4" i="22"/>
  <c r="AE4" i="22"/>
  <c r="AF4" i="22"/>
  <c r="P5" i="22"/>
  <c r="AD5" i="22"/>
  <c r="AE5" i="22"/>
  <c r="AF5" i="22"/>
  <c r="P6" i="22"/>
  <c r="AD6" i="22"/>
  <c r="AE6" i="22"/>
  <c r="AF6" i="22"/>
  <c r="A7" i="22"/>
  <c r="P7" i="22"/>
  <c r="AD7" i="22"/>
  <c r="AF7" i="22"/>
  <c r="A8" i="22"/>
  <c r="P8" i="22"/>
  <c r="AD8" i="22"/>
  <c r="AF8" i="22"/>
  <c r="A9" i="22"/>
  <c r="P9" i="22"/>
  <c r="AD9" i="22"/>
  <c r="AF9" i="22"/>
  <c r="A10" i="22"/>
  <c r="P10" i="22"/>
  <c r="AD10" i="22"/>
  <c r="AF10" i="22"/>
  <c r="A11" i="22"/>
  <c r="P11" i="22"/>
  <c r="AD11" i="22"/>
  <c r="AF11" i="22"/>
  <c r="P12" i="22"/>
  <c r="AD12" i="22"/>
  <c r="AE12" i="22"/>
  <c r="AF12" i="22"/>
  <c r="P13" i="22"/>
  <c r="AF13" i="22"/>
  <c r="P14" i="22"/>
  <c r="AD14" i="22"/>
  <c r="AE14" i="22"/>
  <c r="AF14" i="22"/>
  <c r="P15" i="22"/>
  <c r="AD15" i="22"/>
  <c r="AE15" i="22"/>
  <c r="AF15" i="22"/>
  <c r="P16" i="22"/>
  <c r="AD16" i="22"/>
  <c r="AE16" i="22"/>
  <c r="AF16" i="22"/>
  <c r="P17" i="22"/>
  <c r="AD17" i="22"/>
  <c r="AE17" i="22"/>
  <c r="AF17" i="22"/>
  <c r="P18" i="22"/>
  <c r="AD18" i="22"/>
  <c r="AE18" i="22"/>
  <c r="AF18" i="22"/>
  <c r="P19" i="22"/>
  <c r="AD19" i="22"/>
  <c r="AE19" i="22"/>
  <c r="AF19" i="22"/>
  <c r="P20" i="22"/>
  <c r="AD20" i="22"/>
  <c r="AE20" i="22"/>
  <c r="AF20" i="22"/>
  <c r="P21" i="22"/>
  <c r="AD21" i="22"/>
  <c r="AE21" i="22"/>
  <c r="AF21" i="22"/>
  <c r="P22" i="22"/>
  <c r="AD22" i="22"/>
  <c r="AE22" i="22"/>
  <c r="AF22" i="22"/>
  <c r="P23" i="22"/>
  <c r="AD23" i="22"/>
  <c r="AE23" i="22"/>
  <c r="AF23" i="22"/>
  <c r="P24" i="22"/>
  <c r="AD24" i="22"/>
  <c r="AE24" i="22"/>
  <c r="AF24" i="22"/>
  <c r="P25" i="22"/>
  <c r="AD25" i="22"/>
  <c r="AE25" i="22"/>
  <c r="AF25" i="22"/>
  <c r="P26" i="22"/>
  <c r="AD26" i="22"/>
  <c r="AE26" i="22"/>
  <c r="AF26" i="22"/>
  <c r="P27" i="22"/>
  <c r="AD27" i="22"/>
  <c r="AE27" i="22"/>
  <c r="AF27" i="22"/>
  <c r="P28" i="22"/>
  <c r="AD28" i="22"/>
  <c r="AE28" i="22"/>
  <c r="AF28" i="22"/>
  <c r="P29" i="22"/>
  <c r="AD29" i="22"/>
  <c r="AE29" i="22"/>
  <c r="AF29" i="22"/>
  <c r="P30" i="22"/>
  <c r="AD30" i="22"/>
  <c r="AE30" i="22"/>
  <c r="AF30" i="22"/>
  <c r="P31" i="22"/>
  <c r="AD31" i="22"/>
  <c r="AE31" i="22"/>
  <c r="AF31" i="22"/>
  <c r="A32" i="22"/>
  <c r="P32" i="22"/>
  <c r="AD32" i="22"/>
  <c r="AE32" i="22"/>
  <c r="AF32" i="22"/>
  <c r="A33" i="22"/>
  <c r="P33" i="22"/>
  <c r="AD33" i="22"/>
  <c r="AE33" i="22"/>
  <c r="AF33" i="22"/>
  <c r="A34" i="22"/>
  <c r="P34" i="22"/>
  <c r="AD34" i="22"/>
  <c r="AF34" i="22"/>
  <c r="A35" i="22"/>
  <c r="P35" i="22"/>
  <c r="AD35" i="22"/>
  <c r="AF35" i="22"/>
  <c r="A36" i="22"/>
  <c r="P36" i="22"/>
  <c r="AD36" i="22"/>
  <c r="AF36" i="22"/>
  <c r="A37" i="22"/>
  <c r="P37" i="22"/>
  <c r="AD37" i="22"/>
  <c r="AF37" i="22"/>
  <c r="A38" i="22"/>
  <c r="P38" i="22"/>
  <c r="AD38" i="22"/>
  <c r="AF38" i="22"/>
  <c r="A39" i="22"/>
  <c r="P39" i="22"/>
  <c r="AD39" i="22"/>
  <c r="AF39" i="22"/>
  <c r="A40" i="22"/>
  <c r="P40" i="22"/>
  <c r="AD40" i="22"/>
  <c r="AF40" i="22"/>
  <c r="A41" i="22"/>
  <c r="P41" i="22"/>
  <c r="AD41" i="22"/>
  <c r="AF41" i="22"/>
  <c r="A42" i="22"/>
  <c r="P42" i="22"/>
  <c r="AD42" i="22"/>
  <c r="AF42" i="22"/>
  <c r="A43" i="22"/>
  <c r="P43" i="22"/>
  <c r="AD43" i="22"/>
  <c r="AF43" i="22"/>
  <c r="A44" i="22"/>
  <c r="P44" i="22"/>
  <c r="AD44" i="22"/>
  <c r="AF44" i="22"/>
  <c r="A45" i="22"/>
  <c r="P45" i="22"/>
  <c r="AD45" i="22"/>
  <c r="AF45" i="22"/>
  <c r="A46" i="22"/>
  <c r="P46" i="22"/>
  <c r="AD46" i="22"/>
  <c r="AF46" i="22"/>
  <c r="A47" i="22"/>
  <c r="P47" i="22"/>
  <c r="AD47" i="22"/>
  <c r="AF47" i="22"/>
  <c r="A48" i="22"/>
  <c r="P48" i="22"/>
  <c r="AD48" i="22"/>
  <c r="AF48" i="22"/>
  <c r="A49" i="22"/>
  <c r="P49" i="22"/>
  <c r="AD49" i="22"/>
  <c r="AF49" i="22"/>
  <c r="A50" i="22"/>
  <c r="P50" i="22"/>
  <c r="AD50" i="22"/>
  <c r="AF50" i="22"/>
  <c r="A51" i="22"/>
  <c r="P51" i="22"/>
  <c r="AD51" i="22"/>
  <c r="AF51" i="22"/>
  <c r="A52" i="22"/>
  <c r="P52" i="22"/>
  <c r="AD52" i="22"/>
  <c r="AF52" i="22"/>
  <c r="A53" i="22"/>
  <c r="P53" i="22"/>
  <c r="AD53" i="22"/>
  <c r="AF53" i="22"/>
  <c r="A54" i="22"/>
  <c r="P54" i="22"/>
  <c r="AD54" i="22"/>
  <c r="AF54" i="22"/>
  <c r="A55" i="22"/>
  <c r="P55" i="22"/>
  <c r="AD55" i="22"/>
  <c r="AF55" i="22"/>
  <c r="A56" i="22"/>
  <c r="P56" i="22"/>
  <c r="AD56" i="22"/>
  <c r="AF56" i="22"/>
  <c r="A57" i="22"/>
  <c r="P57" i="22"/>
  <c r="AD57" i="22"/>
  <c r="AF57" i="22"/>
  <c r="A58" i="22"/>
  <c r="P58" i="22"/>
  <c r="AD58" i="22"/>
  <c r="AF58" i="22"/>
  <c r="A59" i="22"/>
  <c r="P59" i="22"/>
  <c r="AD59" i="22"/>
  <c r="AF59" i="22"/>
  <c r="A60" i="22"/>
  <c r="P60" i="22"/>
  <c r="AD60" i="22"/>
  <c r="AF60" i="22"/>
  <c r="A61" i="22"/>
  <c r="P61" i="22"/>
  <c r="AD61" i="22"/>
  <c r="AF61" i="22"/>
  <c r="A62" i="22"/>
  <c r="P62" i="22"/>
  <c r="AD62" i="22"/>
  <c r="AF62" i="22"/>
  <c r="A63" i="22"/>
  <c r="P63" i="22"/>
  <c r="AD63" i="22"/>
  <c r="AF63" i="22"/>
  <c r="A64" i="22"/>
  <c r="P64" i="22"/>
  <c r="AD64" i="22"/>
  <c r="AF64" i="22"/>
  <c r="A65" i="22"/>
  <c r="P65" i="22"/>
  <c r="AD65" i="22"/>
  <c r="AF65" i="22"/>
  <c r="A66" i="22"/>
  <c r="P66" i="22"/>
  <c r="AD66" i="22"/>
  <c r="AF66" i="22"/>
  <c r="A67" i="22"/>
  <c r="P67" i="22"/>
  <c r="AD67" i="22"/>
  <c r="AF67" i="22"/>
  <c r="A68" i="22"/>
  <c r="P68" i="22"/>
  <c r="AD68" i="22"/>
  <c r="AF68" i="22"/>
  <c r="A69" i="22"/>
  <c r="P69" i="22"/>
  <c r="AD69" i="22"/>
  <c r="AF69" i="22"/>
  <c r="A70" i="22"/>
  <c r="P70" i="22"/>
  <c r="AD70" i="22"/>
  <c r="AF70" i="22"/>
  <c r="A71" i="22"/>
  <c r="P71" i="22"/>
  <c r="AF71" i="22"/>
  <c r="A72" i="22"/>
  <c r="P72" i="22"/>
  <c r="AF72" i="22"/>
  <c r="A73" i="22"/>
  <c r="P73" i="22"/>
  <c r="AF73" i="22"/>
  <c r="A74" i="22"/>
  <c r="P74" i="22"/>
  <c r="AF74" i="22"/>
  <c r="A75" i="22"/>
  <c r="P75" i="22"/>
  <c r="AF75" i="22"/>
  <c r="A76" i="22"/>
  <c r="P76" i="22"/>
  <c r="AF76" i="22"/>
  <c r="A77" i="22"/>
  <c r="P77" i="22"/>
  <c r="AF77" i="22"/>
  <c r="A78" i="22"/>
  <c r="P78" i="22"/>
  <c r="AF78" i="22"/>
  <c r="A79" i="22"/>
  <c r="P79" i="22"/>
  <c r="AF79" i="22"/>
  <c r="A80" i="22"/>
  <c r="P80" i="22"/>
  <c r="A81" i="22"/>
  <c r="P81" i="22"/>
  <c r="A82" i="22"/>
  <c r="P82" i="22"/>
  <c r="A83" i="22"/>
  <c r="P83" i="22"/>
  <c r="A84" i="22"/>
  <c r="P84" i="22"/>
  <c r="A85" i="22"/>
  <c r="P85" i="22"/>
  <c r="A86" i="22"/>
  <c r="P86" i="22"/>
  <c r="A87" i="22"/>
  <c r="P87" i="22"/>
  <c r="A88" i="22"/>
  <c r="P88" i="22"/>
  <c r="A89" i="22"/>
  <c r="P89" i="22"/>
  <c r="A90" i="22"/>
  <c r="P90" i="22"/>
  <c r="A91" i="22"/>
  <c r="P91" i="22"/>
  <c r="A92" i="22"/>
  <c r="P92" i="22"/>
  <c r="A93" i="22"/>
  <c r="P93" i="22"/>
  <c r="A94" i="22"/>
  <c r="P94" i="22"/>
  <c r="A95" i="22"/>
  <c r="P95" i="22"/>
  <c r="A96" i="22"/>
  <c r="P96" i="22"/>
  <c r="A97" i="22"/>
  <c r="P97" i="22"/>
  <c r="A98" i="22"/>
  <c r="P98" i="22"/>
  <c r="A99" i="22"/>
  <c r="P99" i="22"/>
  <c r="A100" i="22"/>
  <c r="P100" i="22"/>
  <c r="A101" i="22"/>
  <c r="P101" i="22"/>
  <c r="A102" i="22"/>
  <c r="P102" i="22"/>
  <c r="A103" i="22"/>
  <c r="P103" i="22"/>
  <c r="A104" i="22"/>
  <c r="P104" i="22"/>
  <c r="A105" i="22"/>
  <c r="P105" i="22"/>
  <c r="A106" i="22"/>
  <c r="P106" i="22"/>
  <c r="A107" i="22"/>
  <c r="P107" i="22"/>
  <c r="A108" i="22"/>
  <c r="P108" i="22"/>
  <c r="A109" i="22"/>
  <c r="P109" i="22"/>
  <c r="A110" i="22"/>
  <c r="P110" i="22"/>
  <c r="A111" i="22"/>
  <c r="P111" i="22"/>
  <c r="A112" i="22"/>
  <c r="P112" i="22"/>
  <c r="A113" i="22"/>
  <c r="P113" i="22"/>
  <c r="A114" i="22"/>
  <c r="P114" i="22"/>
  <c r="A115" i="22"/>
  <c r="P115" i="22"/>
  <c r="A116" i="22"/>
  <c r="P116" i="22"/>
  <c r="A117" i="22"/>
  <c r="P117" i="22"/>
  <c r="A118" i="22"/>
  <c r="P118" i="22"/>
  <c r="A119" i="22"/>
  <c r="P119" i="22"/>
  <c r="A120" i="22"/>
  <c r="P120" i="22"/>
  <c r="A121" i="22"/>
  <c r="P121" i="22"/>
  <c r="A122" i="22"/>
  <c r="P122" i="22"/>
  <c r="B25" i="8"/>
  <c r="B25" i="26" s="1"/>
  <c r="B19" i="8"/>
  <c r="H17" i="14"/>
  <c r="I18" i="14"/>
  <c r="H18" i="14"/>
  <c r="K6" i="15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2" i="14"/>
  <c r="B15" i="14"/>
  <c r="F15" i="14" s="1"/>
  <c r="G15" i="14" s="1"/>
  <c r="B16" i="14"/>
  <c r="F16" i="14" s="1"/>
  <c r="G16" i="14" s="1"/>
  <c r="A15" i="14"/>
  <c r="A16" i="14"/>
  <c r="A2" i="14"/>
  <c r="B13" i="14"/>
  <c r="H13" i="14" s="1"/>
  <c r="H14" i="14"/>
  <c r="B16" i="8"/>
  <c r="A3" i="14"/>
  <c r="A4" i="14"/>
  <c r="A5" i="14"/>
  <c r="A6" i="14"/>
  <c r="A7" i="14"/>
  <c r="A8" i="14"/>
  <c r="A9" i="14"/>
  <c r="A10" i="14"/>
  <c r="A11" i="14"/>
  <c r="A12" i="14"/>
  <c r="A13" i="14"/>
  <c r="A14" i="14"/>
  <c r="B3" i="14"/>
  <c r="I3" i="14" s="1"/>
  <c r="B4" i="14"/>
  <c r="F4" i="14" s="1"/>
  <c r="G4" i="14" s="1"/>
  <c r="B5" i="14"/>
  <c r="I5" i="14" s="1"/>
  <c r="B6" i="14"/>
  <c r="I6" i="14" s="1"/>
  <c r="B7" i="14"/>
  <c r="F7" i="14" s="1"/>
  <c r="G7" i="14" s="1"/>
  <c r="B8" i="14"/>
  <c r="I8" i="14" s="1"/>
  <c r="B9" i="14"/>
  <c r="F9" i="14" s="1"/>
  <c r="G9" i="14" s="1"/>
  <c r="B10" i="14"/>
  <c r="H10" i="14" s="1"/>
  <c r="B11" i="14"/>
  <c r="I11" i="14" s="1"/>
  <c r="B12" i="14"/>
  <c r="H12" i="14" s="1"/>
  <c r="B2" i="14"/>
  <c r="H2" i="14" s="1"/>
  <c r="B14" i="8"/>
  <c r="B11" i="8"/>
  <c r="B10" i="8"/>
  <c r="B9" i="8"/>
  <c r="B8" i="8"/>
  <c r="F14" i="14"/>
  <c r="G14" i="14" s="1"/>
  <c r="I14" i="14"/>
  <c r="K2" i="15"/>
  <c r="K3" i="15"/>
  <c r="K4" i="15"/>
  <c r="K5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E3" i="13"/>
  <c r="E4" i="13"/>
  <c r="E5" i="13"/>
  <c r="E6" i="13"/>
  <c r="E7" i="13"/>
  <c r="E2" i="13"/>
  <c r="E3" i="12"/>
  <c r="E4" i="12"/>
  <c r="E5" i="12"/>
  <c r="E6" i="12"/>
  <c r="E7" i="12"/>
  <c r="E2" i="12"/>
  <c r="E3" i="11"/>
  <c r="E4" i="11"/>
  <c r="E5" i="11"/>
  <c r="E6" i="11"/>
  <c r="E7" i="11"/>
  <c r="E2" i="11"/>
  <c r="E3" i="9"/>
  <c r="E4" i="9"/>
  <c r="E5" i="9"/>
  <c r="E6" i="9"/>
  <c r="E7" i="9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3" i="7"/>
  <c r="D4" i="7"/>
  <c r="D5" i="7"/>
  <c r="D6" i="7"/>
  <c r="D7" i="7"/>
  <c r="C3" i="7"/>
  <c r="C4" i="7"/>
  <c r="C5" i="7"/>
  <c r="C6" i="7"/>
  <c r="C7" i="7"/>
  <c r="B3" i="7"/>
  <c r="B4" i="7"/>
  <c r="B5" i="7"/>
  <c r="B6" i="7"/>
  <c r="B7" i="7"/>
  <c r="A3" i="7"/>
  <c r="A4" i="7"/>
  <c r="A5" i="7"/>
  <c r="A6" i="7"/>
  <c r="A7" i="7"/>
  <c r="D2" i="7"/>
  <c r="C2" i="7"/>
  <c r="B2" i="7"/>
  <c r="A2" i="7"/>
  <c r="H23" i="14" l="1"/>
  <c r="I27" i="14"/>
  <c r="F21" i="14"/>
  <c r="G21" i="14" s="1"/>
  <c r="H20" i="15" s="1"/>
  <c r="F23" i="14"/>
  <c r="G23" i="14" s="1"/>
  <c r="F28" i="14"/>
  <c r="G28" i="14" s="1"/>
  <c r="I15" i="14"/>
  <c r="F33" i="14"/>
  <c r="G33" i="14" s="1"/>
  <c r="F29" i="14"/>
  <c r="G29" i="14" s="1"/>
  <c r="I28" i="14"/>
  <c r="H11" i="14"/>
  <c r="H16" i="14"/>
  <c r="I16" i="14"/>
  <c r="H15" i="14"/>
  <c r="F2" i="14"/>
  <c r="G2" i="14" s="1"/>
  <c r="J21" i="15"/>
  <c r="I2" i="14"/>
  <c r="F5" i="14"/>
  <c r="G5" i="14" s="1"/>
  <c r="I17" i="14"/>
  <c r="H5" i="14"/>
  <c r="I32" i="14"/>
  <c r="F10" i="14"/>
  <c r="G10" i="14" s="1"/>
  <c r="F26" i="14"/>
  <c r="G26" i="14" s="1"/>
  <c r="H26" i="14"/>
  <c r="H27" i="14"/>
  <c r="I35" i="14"/>
  <c r="F19" i="14"/>
  <c r="G19" i="14" s="1"/>
  <c r="I20" i="14"/>
  <c r="I37" i="14"/>
  <c r="F37" i="14"/>
  <c r="G37" i="14" s="1"/>
  <c r="F13" i="14"/>
  <c r="G13" i="14" s="1"/>
  <c r="H3" i="14"/>
  <c r="J5" i="15"/>
  <c r="H30" i="14"/>
  <c r="I24" i="14"/>
  <c r="F8" i="14"/>
  <c r="G8" i="14" s="1"/>
  <c r="J10" i="15"/>
  <c r="J12" i="15"/>
  <c r="H24" i="14"/>
  <c r="I21" i="14"/>
  <c r="I31" i="14"/>
  <c r="J23" i="15"/>
  <c r="J4" i="15"/>
  <c r="H22" i="14"/>
  <c r="F12" i="14"/>
  <c r="G12" i="14" s="1"/>
  <c r="F20" i="14"/>
  <c r="G20" i="14" s="1"/>
  <c r="J13" i="15"/>
  <c r="F3" i="14"/>
  <c r="G3" i="14" s="1"/>
  <c r="H9" i="14"/>
  <c r="I13" i="14"/>
  <c r="J8" i="15"/>
  <c r="J17" i="15"/>
  <c r="J3" i="15"/>
  <c r="J20" i="15"/>
  <c r="H6" i="14"/>
  <c r="H7" i="14"/>
  <c r="H8" i="14"/>
  <c r="I10" i="14"/>
  <c r="I7" i="14"/>
  <c r="I4" i="14"/>
  <c r="J16" i="15"/>
  <c r="J25" i="15"/>
  <c r="J11" i="15"/>
  <c r="J22" i="15"/>
  <c r="I19" i="14"/>
  <c r="H25" i="14"/>
  <c r="F25" i="14"/>
  <c r="G25" i="14" s="1"/>
  <c r="I22" i="14"/>
  <c r="J19" i="15"/>
  <c r="F31" i="14"/>
  <c r="G31" i="14" s="1"/>
  <c r="H29" i="14"/>
  <c r="I34" i="14"/>
  <c r="J24" i="15"/>
  <c r="J6" i="15"/>
  <c r="F6" i="14"/>
  <c r="G6" i="14" s="1"/>
  <c r="H4" i="14"/>
  <c r="J27" i="15" s="1"/>
  <c r="F11" i="14"/>
  <c r="G11" i="14" s="1"/>
  <c r="I12" i="14"/>
  <c r="I9" i="14"/>
  <c r="J7" i="15"/>
  <c r="J2" i="15"/>
  <c r="J14" i="15"/>
  <c r="F34" i="14"/>
  <c r="G34" i="14" s="1"/>
  <c r="I33" i="14"/>
  <c r="J15" i="15"/>
  <c r="J9" i="15"/>
  <c r="J18" i="15"/>
  <c r="H15" i="15" l="1"/>
  <c r="G19" i="15"/>
  <c r="H17" i="15"/>
  <c r="H19" i="15"/>
  <c r="I17" i="15"/>
  <c r="I15" i="15"/>
  <c r="I18" i="15"/>
  <c r="I14" i="15"/>
  <c r="N14" i="15" s="1"/>
  <c r="G32" i="15"/>
  <c r="H23" i="15"/>
  <c r="I20" i="15"/>
  <c r="H25" i="15"/>
  <c r="H14" i="15"/>
  <c r="H16" i="15"/>
  <c r="I22" i="15"/>
  <c r="I23" i="15"/>
  <c r="I5" i="15"/>
  <c r="I25" i="15"/>
  <c r="H22" i="15"/>
  <c r="H24" i="15"/>
  <c r="H11" i="15"/>
  <c r="H10" i="15"/>
  <c r="H18" i="15"/>
  <c r="H4" i="15"/>
  <c r="I21" i="15"/>
  <c r="H21" i="15"/>
  <c r="I13" i="15"/>
  <c r="I19" i="15"/>
  <c r="F7" i="15"/>
  <c r="I24" i="15"/>
  <c r="H5" i="15"/>
  <c r="I16" i="15"/>
  <c r="H6" i="15"/>
  <c r="O24" i="15"/>
  <c r="I3" i="15"/>
  <c r="F31" i="15"/>
  <c r="G31" i="15"/>
  <c r="H2" i="15"/>
  <c r="I28" i="15"/>
  <c r="I31" i="15"/>
  <c r="I29" i="15"/>
  <c r="I26" i="15"/>
  <c r="N26" i="15" s="1"/>
  <c r="I33" i="15"/>
  <c r="I36" i="15"/>
  <c r="I32" i="15"/>
  <c r="I35" i="15"/>
  <c r="H12" i="15"/>
  <c r="I9" i="15"/>
  <c r="H8" i="15"/>
  <c r="O20" i="15"/>
  <c r="O15" i="15"/>
  <c r="I2" i="15"/>
  <c r="N2" i="15" s="1"/>
  <c r="H3" i="15"/>
  <c r="O19" i="15"/>
  <c r="G20" i="15"/>
  <c r="J31" i="15"/>
  <c r="F30" i="15"/>
  <c r="F32" i="15"/>
  <c r="J36" i="15"/>
  <c r="O13" i="15"/>
  <c r="G7" i="15"/>
  <c r="I6" i="15"/>
  <c r="G8" i="15"/>
  <c r="F19" i="15"/>
  <c r="O22" i="15"/>
  <c r="J29" i="15"/>
  <c r="I37" i="15"/>
  <c r="H13" i="15"/>
  <c r="I30" i="15"/>
  <c r="H9" i="15"/>
  <c r="I8" i="15"/>
  <c r="I12" i="15"/>
  <c r="G6" i="15"/>
  <c r="H7" i="15"/>
  <c r="I7" i="15"/>
  <c r="I11" i="15"/>
  <c r="I10" i="15"/>
  <c r="F6" i="15"/>
  <c r="O25" i="15"/>
  <c r="O16" i="15"/>
  <c r="I27" i="15"/>
  <c r="F8" i="15"/>
  <c r="I34" i="15"/>
  <c r="I4" i="15"/>
  <c r="O17" i="15"/>
  <c r="O14" i="15"/>
  <c r="O18" i="15"/>
  <c r="J34" i="15"/>
  <c r="J32" i="15"/>
  <c r="J26" i="15"/>
  <c r="J28" i="15"/>
  <c r="J37" i="15"/>
  <c r="J35" i="15"/>
  <c r="J30" i="15"/>
  <c r="G36" i="15"/>
  <c r="F12" i="15"/>
  <c r="G27" i="15"/>
  <c r="F25" i="15"/>
  <c r="G16" i="15"/>
  <c r="F14" i="15"/>
  <c r="F37" i="15"/>
  <c r="F29" i="15"/>
  <c r="F15" i="15"/>
  <c r="O21" i="15"/>
  <c r="O23" i="15"/>
  <c r="O7" i="15"/>
  <c r="O10" i="15"/>
  <c r="O12" i="15"/>
  <c r="O4" i="15"/>
  <c r="O2" i="15"/>
  <c r="O11" i="15"/>
  <c r="O6" i="15"/>
  <c r="O8" i="15"/>
  <c r="O3" i="15"/>
  <c r="O5" i="15"/>
  <c r="J33" i="15"/>
  <c r="F23" i="15"/>
  <c r="F33" i="15"/>
  <c r="F17" i="15"/>
  <c r="F9" i="15"/>
  <c r="F3" i="15"/>
  <c r="G4" i="15"/>
  <c r="G2" i="15"/>
  <c r="F13" i="15"/>
  <c r="G22" i="15"/>
  <c r="G26" i="15"/>
  <c r="G35" i="15"/>
  <c r="G24" i="15"/>
  <c r="F24" i="15"/>
  <c r="G10" i="15"/>
  <c r="G12" i="15"/>
  <c r="F36" i="15"/>
  <c r="F10" i="15"/>
  <c r="F35" i="15"/>
  <c r="F5" i="15"/>
  <c r="G13" i="15"/>
  <c r="G25" i="15"/>
  <c r="G11" i="15"/>
  <c r="G18" i="15"/>
  <c r="G15" i="15"/>
  <c r="G37" i="15"/>
  <c r="G17" i="15"/>
  <c r="G33" i="15"/>
  <c r="G34" i="15"/>
  <c r="F20" i="15"/>
  <c r="G21" i="15"/>
  <c r="F4" i="15"/>
  <c r="F27" i="15"/>
  <c r="F18" i="15"/>
  <c r="G23" i="15"/>
  <c r="F11" i="15"/>
  <c r="F26" i="15"/>
  <c r="G3" i="15"/>
  <c r="M4" i="15" s="1"/>
  <c r="F34" i="15"/>
  <c r="O9" i="15"/>
  <c r="F28" i="15"/>
  <c r="F21" i="15"/>
  <c r="F16" i="15"/>
  <c r="L16" i="15" s="1"/>
  <c r="F22" i="15"/>
  <c r="G5" i="15"/>
  <c r="G14" i="15"/>
  <c r="M19" i="15" s="1"/>
  <c r="G28" i="15"/>
  <c r="G29" i="15"/>
  <c r="G9" i="15"/>
  <c r="F2" i="15"/>
  <c r="H36" i="15"/>
  <c r="H31" i="15"/>
  <c r="H28" i="15"/>
  <c r="H35" i="15"/>
  <c r="H29" i="15"/>
  <c r="H32" i="15"/>
  <c r="H26" i="15"/>
  <c r="H33" i="15"/>
  <c r="H27" i="15"/>
  <c r="H30" i="15"/>
  <c r="H37" i="15"/>
  <c r="H34" i="15"/>
  <c r="G30" i="15"/>
  <c r="N21" i="15"/>
  <c r="N19" i="15"/>
  <c r="N17" i="15"/>
  <c r="N15" i="15"/>
  <c r="N24" i="15"/>
  <c r="N22" i="15"/>
  <c r="N20" i="15"/>
  <c r="N18" i="15"/>
  <c r="N25" i="15"/>
  <c r="N23" i="15"/>
  <c r="N16" i="15"/>
  <c r="N27" i="15" l="1"/>
  <c r="N30" i="15"/>
  <c r="N29" i="15"/>
  <c r="N33" i="15"/>
  <c r="N28" i="15"/>
  <c r="N35" i="15"/>
  <c r="N3" i="15"/>
  <c r="N31" i="15"/>
  <c r="N13" i="15"/>
  <c r="N32" i="15"/>
  <c r="N36" i="15"/>
  <c r="N34" i="15"/>
  <c r="M20" i="15"/>
  <c r="M25" i="15"/>
  <c r="M21" i="15"/>
  <c r="M24" i="15"/>
  <c r="N11" i="15"/>
  <c r="N4" i="15"/>
  <c r="N9" i="15"/>
  <c r="N5" i="15"/>
  <c r="N10" i="15"/>
  <c r="N6" i="15"/>
  <c r="M22" i="15"/>
  <c r="L19" i="15"/>
  <c r="M23" i="15"/>
  <c r="M10" i="15"/>
  <c r="N37" i="15"/>
  <c r="N8" i="15"/>
  <c r="N7" i="15"/>
  <c r="N12" i="15"/>
  <c r="L13" i="15"/>
  <c r="M12" i="15"/>
  <c r="M29" i="15"/>
  <c r="L6" i="15"/>
  <c r="M16" i="15"/>
  <c r="M2" i="15"/>
  <c r="M5" i="15"/>
  <c r="M3" i="15"/>
  <c r="M7" i="15"/>
  <c r="M8" i="15"/>
  <c r="M9" i="15"/>
  <c r="M15" i="15"/>
  <c r="M14" i="15"/>
  <c r="M17" i="15"/>
  <c r="M18" i="15"/>
  <c r="M26" i="15"/>
  <c r="M28" i="15"/>
  <c r="M27" i="15"/>
  <c r="M13" i="15"/>
  <c r="M11" i="15"/>
  <c r="L3" i="15"/>
  <c r="L4" i="15"/>
  <c r="L2" i="15"/>
  <c r="L5" i="15"/>
  <c r="L12" i="15"/>
  <c r="L9" i="15"/>
  <c r="L10" i="15"/>
  <c r="L7" i="15"/>
  <c r="L11" i="15"/>
  <c r="L8" i="15"/>
  <c r="M6" i="15"/>
  <c r="O29" i="15"/>
  <c r="O32" i="15"/>
  <c r="O27" i="15"/>
  <c r="O35" i="15"/>
  <c r="O34" i="15"/>
  <c r="O36" i="15"/>
  <c r="O26" i="15"/>
  <c r="O31" i="15"/>
  <c r="O30" i="15"/>
  <c r="O33" i="15"/>
  <c r="O37" i="15"/>
  <c r="O28" i="15"/>
  <c r="L26" i="15"/>
  <c r="L28" i="15"/>
  <c r="L27" i="15"/>
  <c r="L29" i="15"/>
  <c r="L32" i="15"/>
  <c r="L30" i="15"/>
  <c r="L34" i="15"/>
  <c r="L36" i="15"/>
  <c r="L31" i="15"/>
  <c r="L37" i="15"/>
  <c r="L33" i="15"/>
  <c r="L35" i="15"/>
  <c r="L15" i="15"/>
  <c r="L14" i="15"/>
  <c r="L24" i="15"/>
  <c r="L18" i="15"/>
  <c r="L23" i="15"/>
  <c r="L22" i="15"/>
  <c r="L20" i="15"/>
  <c r="L17" i="15"/>
  <c r="L21" i="15"/>
  <c r="L25" i="15"/>
  <c r="M30" i="15"/>
  <c r="M32" i="15"/>
  <c r="M36" i="15"/>
  <c r="M37" i="15"/>
  <c r="M35" i="15"/>
  <c r="M31" i="15"/>
  <c r="M33" i="15"/>
  <c r="M3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D81D263-5991-F840-B7B0-78343F9DAF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S1 = $30
</t>
        </r>
        <r>
          <rPr>
            <sz val="10"/>
            <color rgb="FF000000"/>
            <rFont val="Tahoma"/>
            <family val="2"/>
          </rPr>
          <t xml:space="preserve">Additional .5 hr = $5
</t>
        </r>
        <r>
          <rPr>
            <sz val="10"/>
            <color rgb="FF000000"/>
            <rFont val="Tahoma"/>
            <family val="2"/>
          </rPr>
          <t>Additional 1 hr = $10</t>
        </r>
      </text>
    </comment>
    <comment ref="G1" authorId="0" shapeId="0" xr:uid="{783EC3E4-6329-644E-AA3E-D7A988D921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S2 = $40</t>
        </r>
      </text>
    </comment>
    <comment ref="I1" authorId="0" shapeId="0" xr:uid="{EB2036E7-F627-094D-AF2E-57B5523591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S3 = $40</t>
        </r>
      </text>
    </comment>
    <comment ref="K1" authorId="0" shapeId="0" xr:uid="{3BA14A52-0E0D-3143-AE48-4DC2F922EA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S4 = $50</t>
        </r>
      </text>
    </comment>
    <comment ref="M1" authorId="0" shapeId="0" xr:uid="{128E45F7-D5A9-7649-B4F9-14E4BD3223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S5 = $60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D379F20-91FC-EB4B-BFF2-5956E27DC4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Date of Session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tc={C0F73575-5072-1E4A-89F4-1FFD63898030}</author>
  </authors>
  <commentList>
    <comment ref="E1" authorId="0" shapeId="0" xr:uid="{AB97D534-8319-8348-9836-F4F41EC570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R01 expected enrollment</t>
        </r>
      </text>
    </comment>
    <comment ref="F1" authorId="0" shapeId="0" xr:uid="{8C66F2BD-8341-984B-A1EC-9E4995DE79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scheduled but not yet signed consent</t>
        </r>
      </text>
    </comment>
    <comment ref="G1" authorId="0" shapeId="0" xr:uid="{8FC89B27-03C7-B04E-87DC-E9C89E2471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eligible from case conference</t>
        </r>
      </text>
    </comment>
    <comment ref="I1" authorId="1" shapeId="0" xr:uid="{C0F73575-5072-1E4A-89F4-1FFD638980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participants who are consented (regardless of fmri)</t>
      </text>
    </comment>
  </commentList>
</comments>
</file>

<file path=xl/sharedStrings.xml><?xml version="1.0" encoding="utf-8"?>
<sst xmlns="http://schemas.openxmlformats.org/spreadsheetml/2006/main" count="4200" uniqueCount="1856">
  <si>
    <t>NAME</t>
  </si>
  <si>
    <t>FIRSTNAME</t>
  </si>
  <si>
    <t>LASTNAME</t>
  </si>
  <si>
    <t>EMAIL</t>
  </si>
  <si>
    <t>PHONE</t>
  </si>
  <si>
    <t>AGE</t>
  </si>
  <si>
    <t>GENDER (M)</t>
  </si>
  <si>
    <t>GROUP</t>
  </si>
  <si>
    <t>GROUPED: SL (M)</t>
  </si>
  <si>
    <t>SOURCE</t>
  </si>
  <si>
    <t>SOURCE Flyer</t>
  </si>
  <si>
    <t>STATUS</t>
  </si>
  <si>
    <t>NOTES</t>
  </si>
  <si>
    <t>SCREEN: SENT DATE (M)</t>
  </si>
  <si>
    <t>SCREEN: COMPLETE DATE (M)</t>
  </si>
  <si>
    <t>SCREEN: COMPLETE Y/N (M)</t>
  </si>
  <si>
    <t>PAI (M)</t>
  </si>
  <si>
    <t>AI (M)</t>
  </si>
  <si>
    <t>SH (M)</t>
  </si>
  <si>
    <t>SPIN (M)</t>
  </si>
  <si>
    <t>ELIGIBLE YN (M)</t>
  </si>
  <si>
    <t>RA</t>
  </si>
  <si>
    <t>INELEGIBILITY CODE (M)</t>
  </si>
  <si>
    <t>PHASE DEEMED INELIGIBLE (M)</t>
  </si>
  <si>
    <t>S1 DATE (M)</t>
  </si>
  <si>
    <t>S2 DATE (M)</t>
  </si>
  <si>
    <t>S3 DATE (M)</t>
  </si>
  <si>
    <t>S4 DATE (M)</t>
  </si>
  <si>
    <t>S5 DATE (M)</t>
  </si>
  <si>
    <t>INVITED TO S1 (M)</t>
  </si>
  <si>
    <t>NOTE_PRESENTYN</t>
  </si>
  <si>
    <t>CONSENT</t>
  </si>
  <si>
    <t>CONTACT</t>
  </si>
  <si>
    <t>Laura Wickham</t>
  </si>
  <si>
    <t>Laura</t>
  </si>
  <si>
    <t>Wickham</t>
  </si>
  <si>
    <t>lmw58@psu.edu</t>
  </si>
  <si>
    <t>F</t>
  </si>
  <si>
    <t>SAD</t>
  </si>
  <si>
    <t>S</t>
  </si>
  <si>
    <t>StudyFinder</t>
  </si>
  <si>
    <t>Invited S1</t>
  </si>
  <si>
    <t>Yes</t>
  </si>
  <si>
    <t>BBH</t>
  </si>
  <si>
    <t>Hannah Strouse</t>
  </si>
  <si>
    <t>Hannah</t>
  </si>
  <si>
    <t>Strouse</t>
  </si>
  <si>
    <t>Hannah.e.strouse@gmail.com</t>
  </si>
  <si>
    <t>814-777-8451</t>
  </si>
  <si>
    <t>Facebook</t>
  </si>
  <si>
    <t>Olivia Cohen</t>
  </si>
  <si>
    <t>Olivia</t>
  </si>
  <si>
    <t>Cohen</t>
  </si>
  <si>
    <t>odc12@psu.edu</t>
  </si>
  <si>
    <t>Ineligible</t>
  </si>
  <si>
    <t>Amy Zankowski</t>
  </si>
  <si>
    <t>Amy</t>
  </si>
  <si>
    <t>Zankowski</t>
  </si>
  <si>
    <t>zankoam@verizon.net</t>
  </si>
  <si>
    <t>Ethan Kollat</t>
  </si>
  <si>
    <t>Ethan</t>
  </si>
  <si>
    <t>Kollat</t>
  </si>
  <si>
    <t>Ethanbkol2@gmail.com</t>
  </si>
  <si>
    <t>M</t>
  </si>
  <si>
    <t>Flyer</t>
  </si>
  <si>
    <t>Called, sent repeat email on 7/30/19</t>
  </si>
  <si>
    <t>Jack</t>
  </si>
  <si>
    <t>Smith</t>
  </si>
  <si>
    <t>jacksmith0773@gmail.com</t>
  </si>
  <si>
    <t>412-944-4077</t>
  </si>
  <si>
    <t>BPD</t>
  </si>
  <si>
    <t>Kyle</t>
  </si>
  <si>
    <t>Snyder</t>
  </si>
  <si>
    <t>ksnyder@fandm.edu</t>
  </si>
  <si>
    <t>On Campus</t>
  </si>
  <si>
    <t>Haley</t>
  </si>
  <si>
    <t>Brown</t>
  </si>
  <si>
    <t>15haleyabrown@gmail.com</t>
  </si>
  <si>
    <t>Jessica</t>
  </si>
  <si>
    <t>Roussey</t>
  </si>
  <si>
    <t>jessicamroussey@gmail.com</t>
  </si>
  <si>
    <t>Avery</t>
  </si>
  <si>
    <t>Everett</t>
  </si>
  <si>
    <t>aie5097@psu.edu</t>
  </si>
  <si>
    <t>717-262-5017</t>
  </si>
  <si>
    <t>Craigslist</t>
  </si>
  <si>
    <t>Carolyn Stoughton</t>
  </si>
  <si>
    <t>Carolyn</t>
  </si>
  <si>
    <t>Stoughton</t>
  </si>
  <si>
    <t>cbs5493@psu.edu</t>
  </si>
  <si>
    <t>Tommy Salerno</t>
  </si>
  <si>
    <t>Tommy</t>
  </si>
  <si>
    <t>Salerno</t>
  </si>
  <si>
    <t>tommysalerno.info@gmail.com</t>
  </si>
  <si>
    <t>484-550-9311</t>
  </si>
  <si>
    <t>8/22/2019 (CANCELED), 08/27/2019</t>
  </si>
  <si>
    <t>Christina Leickel</t>
  </si>
  <si>
    <t>Christina</t>
  </si>
  <si>
    <t>Leickel</t>
  </si>
  <si>
    <t>cdl5209@psu.edu</t>
  </si>
  <si>
    <t>Inquiry</t>
  </si>
  <si>
    <t>Did not take precreen</t>
  </si>
  <si>
    <t>No</t>
  </si>
  <si>
    <t>Erin Seilhamer</t>
  </si>
  <si>
    <t>Erin</t>
  </si>
  <si>
    <t>Seilhamer</t>
  </si>
  <si>
    <t>ems6051@psu.edu</t>
  </si>
  <si>
    <t>717-562-2610</t>
  </si>
  <si>
    <t>Completed screen</t>
  </si>
  <si>
    <t>Brooke Fosaaen</t>
  </si>
  <si>
    <t>Brooke</t>
  </si>
  <si>
    <t>Fosaaen</t>
  </si>
  <si>
    <t>brooke.fosaaen@psu.edu</t>
  </si>
  <si>
    <t>Adam Rothstein</t>
  </si>
  <si>
    <t>Adam</t>
  </si>
  <si>
    <t>Rothstein</t>
  </si>
  <si>
    <t>Rothsad13@juniata.edu</t>
  </si>
  <si>
    <t>Laura Ranieri</t>
  </si>
  <si>
    <t>Ranieri</t>
  </si>
  <si>
    <t>lxr5226@psu.edu</t>
  </si>
  <si>
    <t>-</t>
  </si>
  <si>
    <t>Celine Latona</t>
  </si>
  <si>
    <t>Celine</t>
  </si>
  <si>
    <t>Latona</t>
  </si>
  <si>
    <t>cel5364@psu.edu</t>
  </si>
  <si>
    <t>860-264-7438</t>
  </si>
  <si>
    <t>Mention that they contacted us back in June</t>
  </si>
  <si>
    <t>Sarah Stanford</t>
  </si>
  <si>
    <t>Sarah</t>
  </si>
  <si>
    <t>Stanford</t>
  </si>
  <si>
    <t>sgstanfo@buffalo.edu&gt;</t>
  </si>
  <si>
    <t>HC</t>
  </si>
  <si>
    <t xml:space="preserve">Breanna Hockenberry </t>
  </si>
  <si>
    <t>Breanna</t>
  </si>
  <si>
    <t>Hockenberry</t>
  </si>
  <si>
    <t xml:space="preserve">bfh5164@psu.edu </t>
  </si>
  <si>
    <t>Screen sent</t>
  </si>
  <si>
    <t>Erin Stone</t>
  </si>
  <si>
    <t>Stone</t>
  </si>
  <si>
    <t>Stone.e.morgan@gmail.com</t>
  </si>
  <si>
    <t>Megan Baughman</t>
  </si>
  <si>
    <t>Megan</t>
  </si>
  <si>
    <t>Baughman</t>
  </si>
  <si>
    <t>mbaughman54@gmail.com</t>
  </si>
  <si>
    <t>Julien Denby</t>
  </si>
  <si>
    <t>Julien</t>
  </si>
  <si>
    <t>Denby</t>
  </si>
  <si>
    <t>jjd287@cornell.edu</t>
  </si>
  <si>
    <t>Emily Lebo</t>
  </si>
  <si>
    <t>Emily</t>
  </si>
  <si>
    <t>Lebo</t>
  </si>
  <si>
    <t>elebo97@yahoo.com</t>
  </si>
  <si>
    <t>Casper Smith</t>
  </si>
  <si>
    <t>Casper</t>
  </si>
  <si>
    <t>Ols1147@gmail.com</t>
  </si>
  <si>
    <t>Ryan Dwyer</t>
  </si>
  <si>
    <t>Ryan</t>
  </si>
  <si>
    <t>Dwyer</t>
  </si>
  <si>
    <t>ryandaileydwyer@gmail.coM</t>
  </si>
  <si>
    <t>Sarah Wylie</t>
  </si>
  <si>
    <t>Wylie</t>
  </si>
  <si>
    <t>wylie.sarahe@gmail.com</t>
  </si>
  <si>
    <t>Kiara Smith</t>
  </si>
  <si>
    <t>Kiara</t>
  </si>
  <si>
    <t>kxs782@psu.edu</t>
  </si>
  <si>
    <t>Mentioned interest in PANDAA</t>
  </si>
  <si>
    <t>Austin Peiffer</t>
  </si>
  <si>
    <t>Austin</t>
  </si>
  <si>
    <t>Peiffer</t>
  </si>
  <si>
    <t>Austinpeiffer10818@gmail.com</t>
  </si>
  <si>
    <t>Stephen Lee</t>
  </si>
  <si>
    <t>Stephen</t>
  </si>
  <si>
    <t>Lee</t>
  </si>
  <si>
    <t>sleepsu7947@gmail.com</t>
  </si>
  <si>
    <t>267-684-9809</t>
  </si>
  <si>
    <t>Andrews</t>
  </si>
  <si>
    <t>oka6214@lockhaven.edu</t>
  </si>
  <si>
    <t>Brandon</t>
  </si>
  <si>
    <t>Peck</t>
  </si>
  <si>
    <t>createcomplexbills@gmail.com</t>
  </si>
  <si>
    <t>Anika</t>
  </si>
  <si>
    <t>Huynh</t>
  </si>
  <si>
    <t>anika.huynh@yahoo.com</t>
  </si>
  <si>
    <t>Kasey</t>
  </si>
  <si>
    <t>Engle</t>
  </si>
  <si>
    <t>Kte22@psu.edu</t>
  </si>
  <si>
    <t>Bryce</t>
  </si>
  <si>
    <t>Burgess</t>
  </si>
  <si>
    <t>bburgess22@icloud.com</t>
  </si>
  <si>
    <t>No longer interested</t>
  </si>
  <si>
    <t>Taylor</t>
  </si>
  <si>
    <t>Berardi</t>
  </si>
  <si>
    <t>tberardi299@gmail.com</t>
  </si>
  <si>
    <t>Rebecca</t>
  </si>
  <si>
    <t>Stroschein</t>
  </si>
  <si>
    <t>Bstro111@gmail.com</t>
  </si>
  <si>
    <t>Jenna</t>
  </si>
  <si>
    <t>Wasarhelyi </t>
  </si>
  <si>
    <t>jenna597@hotmail.com</t>
  </si>
  <si>
    <t>Amber</t>
  </si>
  <si>
    <t>Herren </t>
  </si>
  <si>
    <t>Herren12370@yahoo.com</t>
  </si>
  <si>
    <t>Kayla</t>
  </si>
  <si>
    <t>Miller</t>
  </si>
  <si>
    <t>millerkayla42@gmail.com</t>
  </si>
  <si>
    <t>McKenzie</t>
  </si>
  <si>
    <t>Ott</t>
  </si>
  <si>
    <t>ottmckenzie2001@gmail.com</t>
  </si>
  <si>
    <t>Melinda</t>
  </si>
  <si>
    <t>Stebicb</t>
  </si>
  <si>
    <t>MAS778@PITT.EDU</t>
  </si>
  <si>
    <t>Inelegible</t>
  </si>
  <si>
    <t>Hx of bipolar</t>
  </si>
  <si>
    <t>1, 11</t>
  </si>
  <si>
    <t>Alexia</t>
  </si>
  <si>
    <t>Perrin</t>
  </si>
  <si>
    <t>lxperrin@gmail.com</t>
  </si>
  <si>
    <t>1,3</t>
  </si>
  <si>
    <t>Hastings</t>
  </si>
  <si>
    <t>lhastings3383@comcast.net</t>
  </si>
  <si>
    <t>Patrick</t>
  </si>
  <si>
    <t>814-496-2063</t>
  </si>
  <si>
    <t>Shane</t>
  </si>
  <si>
    <t>Samsel</t>
  </si>
  <si>
    <t>Re4xleon@gmail.com</t>
  </si>
  <si>
    <t>Price</t>
  </si>
  <si>
    <t>Samantha</t>
  </si>
  <si>
    <t>Sbrooke93p@gmail.com</t>
  </si>
  <si>
    <t>Gupta</t>
  </si>
  <si>
    <t>Abhishek</t>
  </si>
  <si>
    <t>abhizguptazz1991@gmail.com</t>
  </si>
  <si>
    <t>Rogers</t>
  </si>
  <si>
    <t>Ciera</t>
  </si>
  <si>
    <t>fireflylux13@gmail.com</t>
  </si>
  <si>
    <t>Johnson</t>
  </si>
  <si>
    <t>Bjlee137@outlook.com</t>
  </si>
  <si>
    <t>Elijah</t>
  </si>
  <si>
    <t>Haslouer</t>
  </si>
  <si>
    <t>Jhaslouer1031@gmail.com</t>
  </si>
  <si>
    <t>FU</t>
  </si>
  <si>
    <t>3, 9</t>
  </si>
  <si>
    <t>Nadia</t>
  </si>
  <si>
    <t>Baba</t>
  </si>
  <si>
    <t>Neyney411@yahoo.com</t>
  </si>
  <si>
    <t>413-758-0716</t>
  </si>
  <si>
    <t>4, 9</t>
  </si>
  <si>
    <t>Patel</t>
  </si>
  <si>
    <t>Ronak</t>
  </si>
  <si>
    <t>rpscgssm@gmail.com</t>
  </si>
  <si>
    <t>Albanie</t>
  </si>
  <si>
    <t>Hendrickson-Stives</t>
  </si>
  <si>
    <t>akh5245@psu.edu</t>
  </si>
  <si>
    <t>Clark</t>
  </si>
  <si>
    <t>taylorclark.clark90@gmail.com</t>
  </si>
  <si>
    <t>Not in area during inqury, screen not sent</t>
  </si>
  <si>
    <t>Siani</t>
  </si>
  <si>
    <t>Barbosa</t>
  </si>
  <si>
    <t>smb6803@psu.edu</t>
  </si>
  <si>
    <t>Paul</t>
  </si>
  <si>
    <t>Ahrenholtz</t>
  </si>
  <si>
    <t>Ahrenholtzp@hotmail.com</t>
  </si>
  <si>
    <t>Allie</t>
  </si>
  <si>
    <t>215-237-4043</t>
  </si>
  <si>
    <t>Left voicemail on 7/25 about study from Craigslist. Called on 8/9 and left vm</t>
  </si>
  <si>
    <t>Leighandra</t>
  </si>
  <si>
    <t>McGuire</t>
  </si>
  <si>
    <t>Lpmcguire15@yahoo.com</t>
  </si>
  <si>
    <t>Ayanna</t>
  </si>
  <si>
    <t>Harmon</t>
  </si>
  <si>
    <t>amh6657@psu.edu</t>
  </si>
  <si>
    <t>1, 7</t>
  </si>
  <si>
    <t>Sheppard</t>
  </si>
  <si>
    <t>grimmsblood@gmail.com</t>
  </si>
  <si>
    <t>george</t>
  </si>
  <si>
    <t>mort</t>
  </si>
  <si>
    <t>chelleshubby4life2015@gmail.com</t>
  </si>
  <si>
    <t>Hope</t>
  </si>
  <si>
    <t>Meeker</t>
  </si>
  <si>
    <t>hmeeker@gmail.com</t>
  </si>
  <si>
    <t>484-478-2530</t>
  </si>
  <si>
    <t>Kiarat</t>
  </si>
  <si>
    <t>Vidal</t>
  </si>
  <si>
    <t>kev5131@psu.edu</t>
  </si>
  <si>
    <t>9/</t>
  </si>
  <si>
    <t>Rachel</t>
  </si>
  <si>
    <t>Dean</t>
  </si>
  <si>
    <t>racheldean21@gmail.com</t>
  </si>
  <si>
    <t>Brittany</t>
  </si>
  <si>
    <t>Hamilton</t>
  </si>
  <si>
    <t>Hamilton.Brittany@unionps.org</t>
  </si>
  <si>
    <t>Garcia</t>
  </si>
  <si>
    <t xml:space="preserve">Erg_tx@hotmail.com </t>
  </si>
  <si>
    <t>Lillian</t>
  </si>
  <si>
    <t>Hixson</t>
  </si>
  <si>
    <t>Lhixson@vols.utk.edu</t>
  </si>
  <si>
    <t>Kenneth</t>
  </si>
  <si>
    <t>Mclain</t>
  </si>
  <si>
    <t>Kenken36201@gmail.com</t>
  </si>
  <si>
    <t>256-282-9451</t>
  </si>
  <si>
    <t>1, 3, 4, 5</t>
  </si>
  <si>
    <t>Ashley</t>
  </si>
  <si>
    <t>Wegner</t>
  </si>
  <si>
    <t>AshleyWegner123@gmail.com</t>
  </si>
  <si>
    <t>Alfredo</t>
  </si>
  <si>
    <t>Cisneros</t>
  </si>
  <si>
    <t>Alfredocisneros@protonmail.com</t>
  </si>
  <si>
    <t>Monica</t>
  </si>
  <si>
    <t>Villa</t>
  </si>
  <si>
    <t>mona0129k@gmail.com</t>
  </si>
  <si>
    <t>Tianna</t>
  </si>
  <si>
    <t>Riggsbee</t>
  </si>
  <si>
    <t>tiannariggsbee@gmail.com</t>
  </si>
  <si>
    <t>Abigail</t>
  </si>
  <si>
    <t>Cosgrove</t>
  </si>
  <si>
    <t>14cosgrovea@gmail.com</t>
  </si>
  <si>
    <t>Moore</t>
  </si>
  <si>
    <t>Luis E</t>
  </si>
  <si>
    <t>Nunez</t>
  </si>
  <si>
    <t>len56@psu.edu</t>
  </si>
  <si>
    <t>Davey Lab</t>
  </si>
  <si>
    <t>Has dental implant</t>
  </si>
  <si>
    <t>Chaarvi</t>
  </si>
  <si>
    <t>chaarvimodi@gmail.com</t>
  </si>
  <si>
    <t>814-862-8089</t>
  </si>
  <si>
    <t>Cassidy</t>
  </si>
  <si>
    <t>Cassielaine1259@gmail.com</t>
  </si>
  <si>
    <t>Word of Mouth</t>
  </si>
  <si>
    <t>Completed screen twice (9/9/19 was 2nd date)</t>
  </si>
  <si>
    <t>Kari</t>
  </si>
  <si>
    <t>Rucinski</t>
  </si>
  <si>
    <t>rucinskikari2@gmail.com</t>
  </si>
  <si>
    <t>Jared</t>
  </si>
  <si>
    <t>Keller</t>
  </si>
  <si>
    <t>jwkehler@gmail.com</t>
  </si>
  <si>
    <t>Library</t>
  </si>
  <si>
    <t>Kristen</t>
  </si>
  <si>
    <t>Crable</t>
  </si>
  <si>
    <t>crablekris@gmail.com</t>
  </si>
  <si>
    <t>Stacy</t>
  </si>
  <si>
    <t>Cutler</t>
  </si>
  <si>
    <t>stacycutlers@gmail.com</t>
  </si>
  <si>
    <t>Mary</t>
  </si>
  <si>
    <t>Henderson</t>
  </si>
  <si>
    <t>mqh5862@psu.edu</t>
  </si>
  <si>
    <t>Bridget</t>
  </si>
  <si>
    <t>Cuddy</t>
  </si>
  <si>
    <t>bridgetrosecuddy@gmail.com</t>
  </si>
  <si>
    <t>Willard Building</t>
  </si>
  <si>
    <t>Swanand</t>
  </si>
  <si>
    <t>Vaidya</t>
  </si>
  <si>
    <t>smv5473@psu.edU</t>
  </si>
  <si>
    <t>Francis</t>
  </si>
  <si>
    <t>Musaraca</t>
  </si>
  <si>
    <t>francismusaraca34@gmail.com</t>
  </si>
  <si>
    <t>James</t>
  </si>
  <si>
    <t>kuz35@psu.edu</t>
  </si>
  <si>
    <t>Nicarra</t>
  </si>
  <si>
    <t>McFarland</t>
  </si>
  <si>
    <t>njm5638@psu.edu</t>
  </si>
  <si>
    <t>Forum Building</t>
  </si>
  <si>
    <t>Callie</t>
  </si>
  <si>
    <t>O'Brien</t>
  </si>
  <si>
    <t>cxo27@psu.edu </t>
  </si>
  <si>
    <t>Rajal</t>
  </si>
  <si>
    <t>Nivargi</t>
  </si>
  <si>
    <t>rfn5089@psu.edu</t>
  </si>
  <si>
    <t>Thea</t>
  </si>
  <si>
    <t>Leddy</t>
  </si>
  <si>
    <t>Thealeddy@yahoo.com</t>
  </si>
  <si>
    <t>Inquired about PANDAA</t>
  </si>
  <si>
    <t>Estefany</t>
  </si>
  <si>
    <t>Castillo</t>
  </si>
  <si>
    <t>estefany.d.castillo@gmail.com</t>
  </si>
  <si>
    <t>Morgan</t>
  </si>
  <si>
    <t>Leichtenberger</t>
  </si>
  <si>
    <t>mrl5442@psu.edu</t>
  </si>
  <si>
    <t>Shreyas</t>
  </si>
  <si>
    <t>Sundar </t>
  </si>
  <si>
    <t>sks68@psu.edu</t>
  </si>
  <si>
    <t>Myles</t>
  </si>
  <si>
    <t>Cramer</t>
  </si>
  <si>
    <t>mfc5610@psu.edu</t>
  </si>
  <si>
    <t>Burk</t>
  </si>
  <si>
    <t>tmb6192@psu.edu</t>
  </si>
  <si>
    <t>Jinying</t>
  </si>
  <si>
    <t>Wang</t>
  </si>
  <si>
    <t>jmw7066@psu.edu</t>
  </si>
  <si>
    <t>Sawyer</t>
  </si>
  <si>
    <t>Parks</t>
  </si>
  <si>
    <t>sjp5946@psu.edu</t>
  </si>
  <si>
    <t>724-332-6609</t>
  </si>
  <si>
    <t>AveryAna</t>
  </si>
  <si>
    <t>Palermo-Phillips</t>
  </si>
  <si>
    <t>atp5250@psu.edu</t>
  </si>
  <si>
    <t>Suraj</t>
  </si>
  <si>
    <t>Nair</t>
  </si>
  <si>
    <t>Szm5944@psu.edu</t>
  </si>
  <si>
    <t>Willard</t>
  </si>
  <si>
    <t>Victoria</t>
  </si>
  <si>
    <t>Gough</t>
  </si>
  <si>
    <t>vbg5066@psu.edu</t>
  </si>
  <si>
    <t>Mark</t>
  </si>
  <si>
    <t>Hemmerlin</t>
  </si>
  <si>
    <t>mgh5816@psu.edu</t>
  </si>
  <si>
    <t>Tom</t>
  </si>
  <si>
    <t>Lefebvre</t>
  </si>
  <si>
    <t>tjl5310@psu.edu</t>
  </si>
  <si>
    <t>215-539-0025</t>
  </si>
  <si>
    <t>Isatu</t>
  </si>
  <si>
    <t>Fofanah</t>
  </si>
  <si>
    <t>iftutu12@gmail.com</t>
  </si>
  <si>
    <t xml:space="preserve">No </t>
  </si>
  <si>
    <t>Courtney</t>
  </si>
  <si>
    <t>cjcrable@gmail.com</t>
  </si>
  <si>
    <t>Margaret</t>
  </si>
  <si>
    <t>Whedon</t>
  </si>
  <si>
    <t>mqw5261@psu.edu</t>
  </si>
  <si>
    <t>Intereted in PANDAA</t>
  </si>
  <si>
    <t>Aspen</t>
  </si>
  <si>
    <t>Ulma</t>
  </si>
  <si>
    <t>aeu5032@psu.edu</t>
  </si>
  <si>
    <t>Adanna</t>
  </si>
  <si>
    <t>Nedd</t>
  </si>
  <si>
    <t>afn5@psu.edu</t>
  </si>
  <si>
    <t>HUB</t>
  </si>
  <si>
    <t>Pranjali</t>
  </si>
  <si>
    <t>Yadav</t>
  </si>
  <si>
    <t>pmy5057@psu.edu</t>
  </si>
  <si>
    <t>814-852-9901</t>
  </si>
  <si>
    <t>Jailyn</t>
  </si>
  <si>
    <t>Quinerly</t>
  </si>
  <si>
    <t>Jzq5050@psu.edu</t>
  </si>
  <si>
    <t>Julie</t>
  </si>
  <si>
    <t>Wu</t>
  </si>
  <si>
    <t>jpw5939@psu.edu</t>
  </si>
  <si>
    <t>Mikailah</t>
  </si>
  <si>
    <t>Morrison</t>
  </si>
  <si>
    <t>mjm8091@psu.edu</t>
  </si>
  <si>
    <t>732-213-0286</t>
  </si>
  <si>
    <t>Deja</t>
  </si>
  <si>
    <t>Wynn</t>
  </si>
  <si>
    <t>dtw5156@psu.edu</t>
  </si>
  <si>
    <t>201-243-8640</t>
  </si>
  <si>
    <t>Could not send</t>
  </si>
  <si>
    <t>Aaliyah</t>
  </si>
  <si>
    <t>Wyatt</t>
  </si>
  <si>
    <t>apw5356@psu.edu</t>
  </si>
  <si>
    <t>Murray</t>
  </si>
  <si>
    <t>Imani</t>
  </si>
  <si>
    <t>ikm5070@psu.edu</t>
  </si>
  <si>
    <t>Stan</t>
  </si>
  <si>
    <t>Njango</t>
  </si>
  <si>
    <t xml:space="preserve"> smn26@psu.edu</t>
  </si>
  <si>
    <t>Has metalic property?</t>
  </si>
  <si>
    <t>Kyla</t>
  </si>
  <si>
    <t>Sewell</t>
  </si>
  <si>
    <t>kylaisewell6@gmail.com</t>
  </si>
  <si>
    <t>Vincent</t>
  </si>
  <si>
    <t>Mariani</t>
  </si>
  <si>
    <t>vmariani@psu.edu</t>
  </si>
  <si>
    <t>1, 5, 9</t>
  </si>
  <si>
    <t>Wylyn</t>
  </si>
  <si>
    <t>McCullough</t>
  </si>
  <si>
    <t>wjm241@psu.edu</t>
  </si>
  <si>
    <t>Tyra</t>
  </si>
  <si>
    <t>Dubose</t>
  </si>
  <si>
    <t>Tcd5156@psu.edu</t>
  </si>
  <si>
    <t>Paul John</t>
  </si>
  <si>
    <t>Savas</t>
  </si>
  <si>
    <t>pjs5862@psu.edu</t>
  </si>
  <si>
    <t>Confirm if braces or retainer?</t>
  </si>
  <si>
    <t>Anna</t>
  </si>
  <si>
    <t>Piotti</t>
  </si>
  <si>
    <t>awp15@psu.edu</t>
  </si>
  <si>
    <t>Anjelica</t>
  </si>
  <si>
    <t>787-669-0927</t>
  </si>
  <si>
    <t>Yahya</t>
  </si>
  <si>
    <t>Barry</t>
  </si>
  <si>
    <t>yahya.brr@gmail.com</t>
  </si>
  <si>
    <t>Confirm if braces or retainer, also calustraphobic?</t>
  </si>
  <si>
    <t>Jad</t>
  </si>
  <si>
    <t>Abou Samra</t>
  </si>
  <si>
    <t>jsa5304@psu.edu</t>
  </si>
  <si>
    <t>Chambers</t>
  </si>
  <si>
    <t>Chenyin</t>
  </si>
  <si>
    <t>Zhang</t>
  </si>
  <si>
    <t>cbz5089@psu.edu</t>
  </si>
  <si>
    <t>Sparks Building</t>
  </si>
  <si>
    <t>Vadim</t>
  </si>
  <si>
    <t>Tanygin</t>
  </si>
  <si>
    <t>vkt5039@psu.edu</t>
  </si>
  <si>
    <t>Huang</t>
  </si>
  <si>
    <t>Cbh5582@psu.edu</t>
  </si>
  <si>
    <t>SONA</t>
  </si>
  <si>
    <t>Chris</t>
  </si>
  <si>
    <t>Rodas</t>
  </si>
  <si>
    <t>crodas1008@gmail.com</t>
  </si>
  <si>
    <t>Cassandra</t>
  </si>
  <si>
    <t>Everly</t>
  </si>
  <si>
    <t>cze5158@psu.edu</t>
  </si>
  <si>
    <t>cec5782@psu.edu</t>
  </si>
  <si>
    <t>Braces on upper and lower</t>
  </si>
  <si>
    <t>Andrew</t>
  </si>
  <si>
    <t>Barker</t>
  </si>
  <si>
    <t>adb5865@psu.edu</t>
  </si>
  <si>
    <t>Kelsey</t>
  </si>
  <si>
    <t>ewk4@psu.edu</t>
  </si>
  <si>
    <t>Boucke Building</t>
  </si>
  <si>
    <t>Christopher</t>
  </si>
  <si>
    <t>christopherzhang88@gmail.com</t>
  </si>
  <si>
    <t>Brice</t>
  </si>
  <si>
    <t>Boas</t>
  </si>
  <si>
    <t>beb5500@psu.edu</t>
  </si>
  <si>
    <t xml:space="preserve">1, 3, 6 </t>
  </si>
  <si>
    <t>Celina Philips</t>
  </si>
  <si>
    <t>celina</t>
  </si>
  <si>
    <t>phillips</t>
  </si>
  <si>
    <t>celinaphillips24@gmail.com</t>
  </si>
  <si>
    <t>Confirm if blurry vision related to glasses</t>
  </si>
  <si>
    <t>Oishi</t>
  </si>
  <si>
    <t>vvo5027@psu.edu</t>
  </si>
  <si>
    <t>Mahek Naresh</t>
  </si>
  <si>
    <t>Oberai</t>
  </si>
  <si>
    <t>MAHEKOBERAI1@GMAIL.COM</t>
  </si>
  <si>
    <t>Aiden</t>
  </si>
  <si>
    <t>aiden.s98@gmail.com</t>
  </si>
  <si>
    <t>Hee Chan</t>
  </si>
  <si>
    <t>Ju</t>
  </si>
  <si>
    <t>hqj2019@gmail.com</t>
  </si>
  <si>
    <t xml:space="preserve">Stacy </t>
  </si>
  <si>
    <t>Nelson</t>
  </si>
  <si>
    <t>sun54@psu.edu</t>
  </si>
  <si>
    <t xml:space="preserve">Funari </t>
  </si>
  <si>
    <t>chrisjfun28@gmail.com</t>
  </si>
  <si>
    <t>DP</t>
  </si>
  <si>
    <t>?</t>
  </si>
  <si>
    <t>Chloe</t>
  </si>
  <si>
    <t>Nakhleh</t>
  </si>
  <si>
    <t>cin5126@psu.edu</t>
  </si>
  <si>
    <t>Weaver</t>
  </si>
  <si>
    <t>adragon945@hotmail.com</t>
  </si>
  <si>
    <t>Stephanie</t>
  </si>
  <si>
    <t>Muller</t>
  </si>
  <si>
    <t>stephmorgan147@gmail.com</t>
  </si>
  <si>
    <t>Dominick</t>
  </si>
  <si>
    <t>Caprarola</t>
  </si>
  <si>
    <t>dpc5330@psu.edu</t>
  </si>
  <si>
    <t>Chastity</t>
  </si>
  <si>
    <t>Davis</t>
  </si>
  <si>
    <t>chas0421@gmail.com</t>
  </si>
  <si>
    <t>Halle</t>
  </si>
  <si>
    <t>Richardson</t>
  </si>
  <si>
    <t>hmr5331@psu.edu</t>
  </si>
  <si>
    <t>Marisa</t>
  </si>
  <si>
    <t>Blanco</t>
  </si>
  <si>
    <t>Inquired about PANDAA and NEUROMAO</t>
  </si>
  <si>
    <t>Meghan</t>
  </si>
  <si>
    <t>Bokach</t>
  </si>
  <si>
    <t>mab7193@psu.edu</t>
  </si>
  <si>
    <t>908-3000519</t>
  </si>
  <si>
    <t>Gavin</t>
  </si>
  <si>
    <t>gak5188@psu.edu</t>
  </si>
  <si>
    <t>717-514-2975</t>
  </si>
  <si>
    <t>Sage</t>
  </si>
  <si>
    <t>Aviles</t>
  </si>
  <si>
    <t>sga5080@psu.edu</t>
  </si>
  <si>
    <t xml:space="preserve">Completed screen </t>
  </si>
  <si>
    <t>Alyssa</t>
  </si>
  <si>
    <t>Hanford</t>
  </si>
  <si>
    <t>amh678@psu.edu</t>
  </si>
  <si>
    <t>Sabrina</t>
  </si>
  <si>
    <t>Airey</t>
  </si>
  <si>
    <t>sabrinairey@gmail.com</t>
  </si>
  <si>
    <t>Sofia</t>
  </si>
  <si>
    <t>Leon</t>
  </si>
  <si>
    <t>svl5926@psu.edu</t>
  </si>
  <si>
    <t>Get weight, may be eligible</t>
  </si>
  <si>
    <t>Isabella</t>
  </si>
  <si>
    <t>Perez</t>
  </si>
  <si>
    <t>iqp5084@psu.edu</t>
  </si>
  <si>
    <t>787-412-5345</t>
  </si>
  <si>
    <t>Email</t>
  </si>
  <si>
    <t>Lark</t>
  </si>
  <si>
    <t>Wilson</t>
  </si>
  <si>
    <t>mrw5447@psu.edu</t>
  </si>
  <si>
    <t>Ramey</t>
  </si>
  <si>
    <t>skr5403@psu.edu</t>
  </si>
  <si>
    <t>Brochure</t>
  </si>
  <si>
    <t>Will be getting braces off in a month</t>
  </si>
  <si>
    <t>Emma</t>
  </si>
  <si>
    <t>Garry</t>
  </si>
  <si>
    <t>eag5535@psu.edu</t>
  </si>
  <si>
    <t>1, 9</t>
  </si>
  <si>
    <t>Maria</t>
  </si>
  <si>
    <t>Alvarez</t>
  </si>
  <si>
    <t>mja6074@psu.edu</t>
  </si>
  <si>
    <t>Davey Building</t>
  </si>
  <si>
    <t>Sophia</t>
  </si>
  <si>
    <t>Vouvalis</t>
  </si>
  <si>
    <t>Svv5191@psu.edu</t>
  </si>
  <si>
    <t>Alexa</t>
  </si>
  <si>
    <t>Plisiewicz</t>
  </si>
  <si>
    <t>arp5625@psu.edu</t>
  </si>
  <si>
    <t>Reeya</t>
  </si>
  <si>
    <t>Lele</t>
  </si>
  <si>
    <t>rrl5166@psu.edu</t>
  </si>
  <si>
    <t>Marcelle</t>
  </si>
  <si>
    <t>Gentile</t>
  </si>
  <si>
    <t>mdg5403@psu.edu</t>
  </si>
  <si>
    <t>917-392-5545</t>
  </si>
  <si>
    <t>Did not answer some of the questions</t>
  </si>
  <si>
    <t>Chrissie</t>
  </si>
  <si>
    <t>Shin</t>
  </si>
  <si>
    <t>christiandshin@gmail.com</t>
  </si>
  <si>
    <t>Ronan</t>
  </si>
  <si>
    <t>Berger</t>
  </si>
  <si>
    <t>rjb6220@psu.edu</t>
  </si>
  <si>
    <t>Dinky</t>
  </si>
  <si>
    <t>dcp5228@psu.edu</t>
  </si>
  <si>
    <t xml:space="preserve">Eric </t>
  </si>
  <si>
    <t>Lundberg</t>
  </si>
  <si>
    <t>eql5276@psu.edu</t>
  </si>
  <si>
    <t>Grace</t>
  </si>
  <si>
    <t>Christman</t>
  </si>
  <si>
    <t>Gec5182@psu.edu</t>
  </si>
  <si>
    <t>Dilara</t>
  </si>
  <si>
    <t>Waxman</t>
  </si>
  <si>
    <t>dmw5942@psu.edu</t>
  </si>
  <si>
    <t>717-580-0592</t>
  </si>
  <si>
    <t>1, 4, 7</t>
  </si>
  <si>
    <t>Leneghan</t>
  </si>
  <si>
    <t>bcl5219@psu.edu</t>
  </si>
  <si>
    <t>215-450-2888</t>
  </si>
  <si>
    <t>Carley</t>
  </si>
  <si>
    <t>Calcao</t>
  </si>
  <si>
    <t>clc6146@psu.edu</t>
  </si>
  <si>
    <t>David</t>
  </si>
  <si>
    <t>Acker</t>
  </si>
  <si>
    <t>davidacker3@gmail.com</t>
  </si>
  <si>
    <t>267-374-9572</t>
  </si>
  <si>
    <t>Would be ETC, should not be interviewed with Nate and Sophie; (10/14) Begonia needs to follow up on what to do with this person</t>
  </si>
  <si>
    <t>OSG</t>
  </si>
  <si>
    <t>Stockham</t>
  </si>
  <si>
    <t>eds5327@psu.edu</t>
  </si>
  <si>
    <t>Deismy</t>
  </si>
  <si>
    <t>Jimenez</t>
  </si>
  <si>
    <t>dxj5177@psu.edu</t>
  </si>
  <si>
    <t xml:space="preserve">	6106036353</t>
  </si>
  <si>
    <t>Adrien</t>
  </si>
  <si>
    <t>Fourneaux</t>
  </si>
  <si>
    <t>aef5410@psu.edu</t>
  </si>
  <si>
    <t>Julia</t>
  </si>
  <si>
    <t>Evans</t>
  </si>
  <si>
    <t>jbe5189@psu.edu</t>
  </si>
  <si>
    <t>(513) 926-5772</t>
  </si>
  <si>
    <t>Osmond Lab</t>
  </si>
  <si>
    <t>Da Hyun</t>
  </si>
  <si>
    <t>Kim</t>
  </si>
  <si>
    <t>dfk5095@psu.edu</t>
  </si>
  <si>
    <t>Stella</t>
  </si>
  <si>
    <t>Talamo</t>
  </si>
  <si>
    <t>sjt5446@psu.edu</t>
  </si>
  <si>
    <t xml:space="preserve">	7175852728</t>
  </si>
  <si>
    <t>Lis</t>
  </si>
  <si>
    <t>efl5048@psu.edu</t>
  </si>
  <si>
    <t xml:space="preserve">	9738658344</t>
  </si>
  <si>
    <t>Following up on tattoos, submitted two screenings </t>
  </si>
  <si>
    <t>Lauren</t>
  </si>
  <si>
    <t>Karenbauer</t>
  </si>
  <si>
    <t>lvk5211@psu.edu</t>
  </si>
  <si>
    <t>724-766-2651</t>
  </si>
  <si>
    <t>Buehler</t>
  </si>
  <si>
    <t>Mlehanzlik@gmail.com</t>
  </si>
  <si>
    <t>Connell</t>
  </si>
  <si>
    <t xml:space="preserve">	amc8062@psu.edu</t>
  </si>
  <si>
    <t xml:space="preserve">	19073820255</t>
  </si>
  <si>
    <t>Alayna</t>
  </si>
  <si>
    <t>Null</t>
  </si>
  <si>
    <t>alaynanull16@gmail.com</t>
  </si>
  <si>
    <t>Damon</t>
  </si>
  <si>
    <t>Jenkins</t>
  </si>
  <si>
    <t>dgj5040@psu.edu</t>
  </si>
  <si>
    <t>301-448-7210</t>
  </si>
  <si>
    <t>Kara</t>
  </si>
  <si>
    <t>Ristey</t>
  </si>
  <si>
    <t>klr5771@psu.edu</t>
  </si>
  <si>
    <t>724-417-8908</t>
  </si>
  <si>
    <t>McKenna</t>
  </si>
  <si>
    <t>gbm5193@psu.edu</t>
  </si>
  <si>
    <t>Myeong Hwak</t>
  </si>
  <si>
    <t>Choe</t>
  </si>
  <si>
    <t>mqc6137@psu.edu</t>
  </si>
  <si>
    <t xml:space="preserve">	2676996353</t>
  </si>
  <si>
    <t>Ashli</t>
  </si>
  <si>
    <t>Starks</t>
  </si>
  <si>
    <t>aestarks@yahoo.com</t>
  </si>
  <si>
    <t>ID</t>
  </si>
  <si>
    <t>SCREEN FINISHED DATE</t>
  </si>
  <si>
    <t>ELIGIBLE?</t>
  </si>
  <si>
    <t>FMRI GROUP (Y/N)</t>
  </si>
  <si>
    <t>S1 DATE</t>
  </si>
  <si>
    <t>S2 DATE</t>
  </si>
  <si>
    <t>S3 DATE</t>
  </si>
  <si>
    <t>S4 DATE</t>
  </si>
  <si>
    <t>S5 DATE</t>
  </si>
  <si>
    <t>YES</t>
  </si>
  <si>
    <t>Completed S2</t>
  </si>
  <si>
    <t>N</t>
  </si>
  <si>
    <t>NO</t>
  </si>
  <si>
    <t>Completed S1</t>
  </si>
  <si>
    <t>Scheduled S2</t>
  </si>
  <si>
    <t>Scheduled S1</t>
  </si>
  <si>
    <t>Scheduled S1 FU</t>
  </si>
  <si>
    <t>8/15/2019, 8/27/19, 9/11/19</t>
  </si>
  <si>
    <t>8/15/2019, 9/12/19 (? TRYING TO SCHEDUELE)</t>
  </si>
  <si>
    <t>814-553-8161</t>
  </si>
  <si>
    <t>Scheduling S1 FU</t>
  </si>
  <si>
    <t>8/22/2019, 8/28/19 (FU 1),</t>
  </si>
  <si>
    <t>8/19/2019, 9/10/19</t>
  </si>
  <si>
    <t>8/27/2019, 9/3/19 (FU), 9/5/19 fu</t>
  </si>
  <si>
    <t>NO SHOW</t>
  </si>
  <si>
    <t>Victoria Gough</t>
  </si>
  <si>
    <t>978-288-6092</t>
  </si>
  <si>
    <t>Tyra Dubose</t>
  </si>
  <si>
    <t>412-513-6784</t>
  </si>
  <si>
    <t>GENDER</t>
  </si>
  <si>
    <t>ACTUAL GROUP</t>
  </si>
  <si>
    <t>S1 NOTE</t>
  </si>
  <si>
    <t>S1 FU 1</t>
  </si>
  <si>
    <t>S1 FU 2</t>
  </si>
  <si>
    <t>S2 NOTE</t>
  </si>
  <si>
    <t>S1 Person</t>
  </si>
  <si>
    <t>ETC</t>
  </si>
  <si>
    <t>Sent email about S3 on 9/17</t>
  </si>
  <si>
    <t>EXCLUDED</t>
  </si>
  <si>
    <t>Scheduled S3</t>
  </si>
  <si>
    <t>Y</t>
  </si>
  <si>
    <t>Jad Abou Samra</t>
  </si>
  <si>
    <t>Non Responsive</t>
  </si>
  <si>
    <t>NA</t>
  </si>
  <si>
    <t xml:space="preserve">Not US citizen, needs to provide </t>
  </si>
  <si>
    <t>RESCHEDULED on 9/18/19</t>
  </si>
  <si>
    <t xml:space="preserve">11-12:20 </t>
  </si>
  <si>
    <t>CANCELED</t>
  </si>
  <si>
    <t>Callie O'Brien</t>
  </si>
  <si>
    <t>NO SHOW S1 FU 1</t>
  </si>
  <si>
    <t>Kyla Sewell</t>
  </si>
  <si>
    <t>Christopher Zhang</t>
  </si>
  <si>
    <t>646-250-9698</t>
  </si>
  <si>
    <t>Inel</t>
  </si>
  <si>
    <t>Celina</t>
  </si>
  <si>
    <t>Philips</t>
  </si>
  <si>
    <t>973-943-2788</t>
  </si>
  <si>
    <t>Eli Kelsey</t>
  </si>
  <si>
    <t>Eli</t>
  </si>
  <si>
    <t>814-826-5095</t>
  </si>
  <si>
    <t>(740) 637-5290</t>
  </si>
  <si>
    <t>Aiden Smith</t>
  </si>
  <si>
    <t>717-404-9367</t>
  </si>
  <si>
    <t>DATE INVITED</t>
  </si>
  <si>
    <t>Gavin Keller</t>
  </si>
  <si>
    <t xml:space="preserve">Gavin </t>
  </si>
  <si>
    <t>FIRST NAME</t>
  </si>
  <si>
    <t>LAST NAME</t>
  </si>
  <si>
    <t>PAI TOTAL</t>
  </si>
  <si>
    <t>AI</t>
  </si>
  <si>
    <t>SPIN</t>
  </si>
  <si>
    <t>Heilenman</t>
  </si>
  <si>
    <t>alh6341@psu.edu</t>
  </si>
  <si>
    <t>Wolf</t>
  </si>
  <si>
    <t>alw6089@psu.edu</t>
  </si>
  <si>
    <t>Wertz</t>
  </si>
  <si>
    <t>agw5162@psu.edu</t>
  </si>
  <si>
    <t>Adriana</t>
  </si>
  <si>
    <t>Romano</t>
  </si>
  <si>
    <t>adriromano986@gmail.com</t>
  </si>
  <si>
    <t>Aidan</t>
  </si>
  <si>
    <t>Robinson</t>
  </si>
  <si>
    <t>amr7336@psu.edu</t>
  </si>
  <si>
    <t>Aimee</t>
  </si>
  <si>
    <t>Slowik</t>
  </si>
  <si>
    <t>aes6190@psu.edu</t>
  </si>
  <si>
    <t>Alexandra</t>
  </si>
  <si>
    <t>Whalen</t>
  </si>
  <si>
    <t>ajw6251@psu.edu</t>
  </si>
  <si>
    <t>Alexis</t>
  </si>
  <si>
    <t>Connolly</t>
  </si>
  <si>
    <t>1017alex@gmail.com</t>
  </si>
  <si>
    <t>Murphy-Costanzo</t>
  </si>
  <si>
    <t>asm5868@psu.edu</t>
  </si>
  <si>
    <t>Burke</t>
  </si>
  <si>
    <t>alexisdakota@yahoo.com</t>
  </si>
  <si>
    <t>Alicia</t>
  </si>
  <si>
    <t>Kasson</t>
  </si>
  <si>
    <t>Akk5460@psu.edu</t>
  </si>
  <si>
    <t>Alison</t>
  </si>
  <si>
    <t>Johnston</t>
  </si>
  <si>
    <t>amj54@psu.edu</t>
  </si>
  <si>
    <t>Allison</t>
  </si>
  <si>
    <t>Griggs</t>
  </si>
  <si>
    <t>adgriggs74@gmail.com</t>
  </si>
  <si>
    <t>Alondra</t>
  </si>
  <si>
    <t>Pacheco-Ruiz</t>
  </si>
  <si>
    <t>aqp5750@psu.edu</t>
  </si>
  <si>
    <t>Alonzo</t>
  </si>
  <si>
    <t>nosdrachiroznola@gmail.com</t>
  </si>
  <si>
    <t>amc8062@psu.edu</t>
  </si>
  <si>
    <t>Finaly</t>
  </si>
  <si>
    <t>akf5370@psu.edu</t>
  </si>
  <si>
    <t>Amanda</t>
  </si>
  <si>
    <t>Hakins</t>
  </si>
  <si>
    <t>abh5511@psu.edu</t>
  </si>
  <si>
    <t>Amira</t>
  </si>
  <si>
    <t>El-Dinary</t>
  </si>
  <si>
    <t>ace5276@psu.edu</t>
  </si>
  <si>
    <t>Ana Sophia</t>
  </si>
  <si>
    <t>Gomes Collavitti</t>
  </si>
  <si>
    <t>anacollavitti@gmail.com</t>
  </si>
  <si>
    <t>NOT ELIGIBLE</t>
  </si>
  <si>
    <t>Aneesh</t>
  </si>
  <si>
    <t>Nadgouda</t>
  </si>
  <si>
    <t>agn5099@psu.edu</t>
  </si>
  <si>
    <t>Kiessling</t>
  </si>
  <si>
    <t>amk7072@psu.edu</t>
  </si>
  <si>
    <t>Souren</t>
  </si>
  <si>
    <t>aps8@psu.edu</t>
  </si>
  <si>
    <t>(908)956-1290</t>
  </si>
  <si>
    <t>Anthony</t>
  </si>
  <si>
    <t>Esposito</t>
  </si>
  <si>
    <t>ase8@psu.edu</t>
  </si>
  <si>
    <t>570-637-7799</t>
  </si>
  <si>
    <t>Arden</t>
  </si>
  <si>
    <t>Ericson</t>
  </si>
  <si>
    <t>aqe5221@psu.edu</t>
  </si>
  <si>
    <t>armani</t>
  </si>
  <si>
    <t>moore</t>
  </si>
  <si>
    <t>ahm34@gmail.com</t>
  </si>
  <si>
    <t>Turner</t>
  </si>
  <si>
    <t>avt5588@psu.edu</t>
  </si>
  <si>
    <t>aspen</t>
  </si>
  <si>
    <t>ulma</t>
  </si>
  <si>
    <t>lookingforaspen@gmail.com</t>
  </si>
  <si>
    <t>Audrey</t>
  </si>
  <si>
    <t>Greiner</t>
  </si>
  <si>
    <t>audreygreiner@gmail.com</t>
  </si>
  <si>
    <t>Ava</t>
  </si>
  <si>
    <t>Maneri</t>
  </si>
  <si>
    <t>avamaneri@yahoo.com</t>
  </si>
  <si>
    <t>Baohan</t>
  </si>
  <si>
    <t>bmw6095@psu.edu</t>
  </si>
  <si>
    <t>Mullarkey</t>
  </si>
  <si>
    <t>bem5466@psu.edu</t>
  </si>
  <si>
    <t>Brenna</t>
  </si>
  <si>
    <t>Gleason</t>
  </si>
  <si>
    <t>gleasonbrenna@gmail.com</t>
  </si>
  <si>
    <t>Brian</t>
  </si>
  <si>
    <t>Kay</t>
  </si>
  <si>
    <t>bpk5253@psu.edu</t>
  </si>
  <si>
    <t>Brianna</t>
  </si>
  <si>
    <t>Vazquez</t>
  </si>
  <si>
    <t>brv5059@psu.edu</t>
  </si>
  <si>
    <t>Briley</t>
  </si>
  <si>
    <t>Spindler</t>
  </si>
  <si>
    <t>bms6356@psu.edu</t>
  </si>
  <si>
    <t>Caden</t>
  </si>
  <si>
    <t>Hazenstab</t>
  </si>
  <si>
    <t>cph5460@psu.edu</t>
  </si>
  <si>
    <t>Caili</t>
  </si>
  <si>
    <t>McShane</t>
  </si>
  <si>
    <t>cam6898@psu.edu</t>
  </si>
  <si>
    <t>Cameryn</t>
  </si>
  <si>
    <t>Rousselin</t>
  </si>
  <si>
    <t>cqr5410@psu.edu</t>
  </si>
  <si>
    <t>Carlene</t>
  </si>
  <si>
    <t>Stumpo</t>
  </si>
  <si>
    <t>crs6007@psu.edu</t>
  </si>
  <si>
    <t>Carly</t>
  </si>
  <si>
    <t>Koutouvidis</t>
  </si>
  <si>
    <t>czk5413@psu.edu</t>
  </si>
  <si>
    <t>Caroline</t>
  </si>
  <si>
    <t>Ulanoski</t>
  </si>
  <si>
    <t>ulanoskic@gmail.com</t>
  </si>
  <si>
    <t>Maksym</t>
  </si>
  <si>
    <t>cem6001@psu.edu</t>
  </si>
  <si>
    <t>cnm5412@psu.edu</t>
  </si>
  <si>
    <t>781-686-0002</t>
  </si>
  <si>
    <t>UNKNOWN</t>
  </si>
  <si>
    <t>.</t>
  </si>
  <si>
    <t>Catherine</t>
  </si>
  <si>
    <t>Hassett</t>
  </si>
  <si>
    <t>cmh6796@psu.edu</t>
  </si>
  <si>
    <t>Farber</t>
  </si>
  <si>
    <t>cef5408@gmail.com</t>
  </si>
  <si>
    <t>Cecelia</t>
  </si>
  <si>
    <t>Tornatore</t>
  </si>
  <si>
    <t>cvt5180@psu.edu</t>
  </si>
  <si>
    <t>ELIGIBLE</t>
  </si>
  <si>
    <t>Sheafer</t>
  </si>
  <si>
    <t>cds5733@psu.edu</t>
  </si>
  <si>
    <t>Benson</t>
  </si>
  <si>
    <t>csb5522@psu.edu</t>
  </si>
  <si>
    <t>cbh5582@psu.edu</t>
  </si>
  <si>
    <t>Colon</t>
  </si>
  <si>
    <t>ckc5552@psu.edu</t>
  </si>
  <si>
    <t>Claudia</t>
  </si>
  <si>
    <t>Schultz</t>
  </si>
  <si>
    <t>cas7169@psu.edu</t>
  </si>
  <si>
    <t>Coleman</t>
  </si>
  <si>
    <t>Cush</t>
  </si>
  <si>
    <t>cpc5659@psu.edu</t>
  </si>
  <si>
    <t>Colin</t>
  </si>
  <si>
    <t>Flanegin</t>
  </si>
  <si>
    <t>cjf5694@psu.edu</t>
  </si>
  <si>
    <t>Conrad</t>
  </si>
  <si>
    <t>Sunter</t>
  </si>
  <si>
    <t>conradsunter@gmail.com</t>
  </si>
  <si>
    <t>Corinne</t>
  </si>
  <si>
    <t>Charlot</t>
  </si>
  <si>
    <t>cgc5264@psu.edu</t>
  </si>
  <si>
    <t>Cristian</t>
  </si>
  <si>
    <t>Gonzalez</t>
  </si>
  <si>
    <t>cgonzalez2747@gmail.com</t>
  </si>
  <si>
    <t>Cristina</t>
  </si>
  <si>
    <t>Lloyd</t>
  </si>
  <si>
    <t>cel5449@osu.edu</t>
  </si>
  <si>
    <t>Dakota</t>
  </si>
  <si>
    <t>Engelman</t>
  </si>
  <si>
    <t>dakotalily2000@gmail.com</t>
  </si>
  <si>
    <t>Danielle</t>
  </si>
  <si>
    <t>Bowser</t>
  </si>
  <si>
    <t>dmb6748@psu.edu</t>
  </si>
  <si>
    <t>Danting</t>
  </si>
  <si>
    <t>dqz5151@psu.edu</t>
  </si>
  <si>
    <t>Davina</t>
  </si>
  <si>
    <t>Ballah</t>
  </si>
  <si>
    <t>dpb5548@psu.edu</t>
  </si>
  <si>
    <t>Deng</t>
  </si>
  <si>
    <t>Binlong</t>
  </si>
  <si>
    <t>bbd5197@psu.edu</t>
  </si>
  <si>
    <t>Desire</t>
  </si>
  <si>
    <t>Barriga</t>
  </si>
  <si>
    <t>dxb499@psu.edu</t>
  </si>
  <si>
    <t>Devon</t>
  </si>
  <si>
    <t>Gannon</t>
  </si>
  <si>
    <t>dzg335@psu.edu</t>
  </si>
  <si>
    <t>dina</t>
  </si>
  <si>
    <t>pavri</t>
  </si>
  <si>
    <t>dmp6148@psu.edu</t>
  </si>
  <si>
    <t>Dong Joo</t>
  </si>
  <si>
    <t>Yu</t>
  </si>
  <si>
    <t>djy5160@psu.edu</t>
  </si>
  <si>
    <t>Donovan</t>
  </si>
  <si>
    <t>dyb5254@psu.edu</t>
  </si>
  <si>
    <t>Dylan</t>
  </si>
  <si>
    <t>Stirone</t>
  </si>
  <si>
    <t>dts5289@psu.edu</t>
  </si>
  <si>
    <t>(585) 500-5985</t>
  </si>
  <si>
    <t>eileen</t>
  </si>
  <si>
    <t>martin</t>
  </si>
  <si>
    <t>evm5517@psu.edu</t>
  </si>
  <si>
    <t>Eiyreana</t>
  </si>
  <si>
    <t>Scott</t>
  </si>
  <si>
    <t>eja5395@psu.edu</t>
  </si>
  <si>
    <t>Eleanor</t>
  </si>
  <si>
    <t>ehj5039@psu.edu</t>
  </si>
  <si>
    <t>Elyse</t>
  </si>
  <si>
    <t>Miceli</t>
  </si>
  <si>
    <t>egm5205@psu.edu</t>
  </si>
  <si>
    <t>Emerson</t>
  </si>
  <si>
    <t>ews5435@psu.edu</t>
  </si>
  <si>
    <t>Malakoff</t>
  </si>
  <si>
    <t>eam6006@psu.edu</t>
  </si>
  <si>
    <t>240-997-0645</t>
  </si>
  <si>
    <t>Carter</t>
  </si>
  <si>
    <t>eec5302@psu.edu</t>
  </si>
  <si>
    <t>757-535-2658</t>
  </si>
  <si>
    <t>Hannak</t>
  </si>
  <si>
    <t>exh464@psu.edu</t>
  </si>
  <si>
    <t>Simpson</t>
  </si>
  <si>
    <t>emilyhsimpson15@gmail.com</t>
  </si>
  <si>
    <t>610-413-0504</t>
  </si>
  <si>
    <t>Messersmith</t>
  </si>
  <si>
    <t>emma.messersmith@gmail.com</t>
  </si>
  <si>
    <t>sirken</t>
  </si>
  <si>
    <t>ems6525@psu.edu</t>
  </si>
  <si>
    <t>Dewit</t>
  </si>
  <si>
    <t>end5112@psu.edu</t>
  </si>
  <si>
    <t>Emmaline</t>
  </si>
  <si>
    <t>Fogal</t>
  </si>
  <si>
    <t>eqf5178@psu.edu</t>
  </si>
  <si>
    <t>610-216-4573</t>
  </si>
  <si>
    <t>Eric</t>
  </si>
  <si>
    <t>Gilbert</t>
  </si>
  <si>
    <t>evg5307@psu.edu</t>
  </si>
  <si>
    <t>484-942-7826</t>
  </si>
  <si>
    <t>Tscherne</t>
  </si>
  <si>
    <t>erintscherne@gmail.com</t>
  </si>
  <si>
    <t>Schoenleber</t>
  </si>
  <si>
    <t>ebs5513@psu.edu</t>
  </si>
  <si>
    <t>Evan</t>
  </si>
  <si>
    <t>Stein</t>
  </si>
  <si>
    <t>ers5587@psu.edu</t>
  </si>
  <si>
    <t>Evelyn</t>
  </si>
  <si>
    <t>Schendler</t>
  </si>
  <si>
    <t>exs5477@psu.edu</t>
  </si>
  <si>
    <t>Felicia</t>
  </si>
  <si>
    <t>Tan</t>
  </si>
  <si>
    <t>fzt5065@psu.edu</t>
  </si>
  <si>
    <t>Georgia</t>
  </si>
  <si>
    <t>Colegrave</t>
  </si>
  <si>
    <t>Colegravegeorgia@gmail.com</t>
  </si>
  <si>
    <t>Wetzel</t>
  </si>
  <si>
    <t>gmw5287@psu.edu</t>
  </si>
  <si>
    <t>Boylan</t>
  </si>
  <si>
    <t>gvb5322@psu.edu</t>
  </si>
  <si>
    <t>973-521-1234</t>
  </si>
  <si>
    <t>Gretchen</t>
  </si>
  <si>
    <t>Ritchie</t>
  </si>
  <si>
    <t>gar5245@psu.edu</t>
  </si>
  <si>
    <t>Griffin</t>
  </si>
  <si>
    <t>Sullivan</t>
  </si>
  <si>
    <t>gxs331@psu.edu</t>
  </si>
  <si>
    <t>Fennell</t>
  </si>
  <si>
    <t>hef5086@psu.edu</t>
  </si>
  <si>
    <t>MacDonald</t>
  </si>
  <si>
    <t>hcm5136@psu.edu</t>
  </si>
  <si>
    <t>heb5231@psu.edu</t>
  </si>
  <si>
    <t>Haotian</t>
  </si>
  <si>
    <t>Fang</t>
  </si>
  <si>
    <t>hpf5075@psu.edu</t>
  </si>
  <si>
    <t>Hayley</t>
  </si>
  <si>
    <t>Leisenring</t>
  </si>
  <si>
    <t>hxl5480@psu.edu</t>
  </si>
  <si>
    <t>Heather</t>
  </si>
  <si>
    <t>Monachello</t>
  </si>
  <si>
    <t>hmm5675@psu.edu</t>
  </si>
  <si>
    <t>I-TING</t>
  </si>
  <si>
    <t>CHIEN</t>
  </si>
  <si>
    <t>ivc5120@psu.edu</t>
  </si>
  <si>
    <t>Isabel</t>
  </si>
  <si>
    <t>Ameer</t>
  </si>
  <si>
    <t>ira5030@psu.edu</t>
  </si>
  <si>
    <t>Porter</t>
  </si>
  <si>
    <t>isp5040@psu.edu</t>
  </si>
  <si>
    <t>518 4214643</t>
  </si>
  <si>
    <t>Jackson</t>
  </si>
  <si>
    <t>Doheny</t>
  </si>
  <si>
    <t>gmd5436@psu.edu</t>
  </si>
  <si>
    <t>Jaclyn</t>
  </si>
  <si>
    <t>Ragusa</t>
  </si>
  <si>
    <t>jcr5690@psu.edu</t>
  </si>
  <si>
    <t>Jakeb</t>
  </si>
  <si>
    <t>Benedict</t>
  </si>
  <si>
    <t>jab7690@psu.edu</t>
  </si>
  <si>
    <t>Brownstein</t>
  </si>
  <si>
    <t>jamesbrownstein@yahoo.com</t>
  </si>
  <si>
    <t>Jamie</t>
  </si>
  <si>
    <t>Liotta</t>
  </si>
  <si>
    <t>jml7127@psu.edu</t>
  </si>
  <si>
    <t>Jasmine</t>
  </si>
  <si>
    <t>Sandhu</t>
  </si>
  <si>
    <t>jps6818@psu.edu</t>
  </si>
  <si>
    <t>Jennifer</t>
  </si>
  <si>
    <t>McMichael</t>
  </si>
  <si>
    <t>jlm7175@psu.edu</t>
  </si>
  <si>
    <t>(717) 598-0569</t>
  </si>
  <si>
    <t>Huffman</t>
  </si>
  <si>
    <t>jqh6139@psu.edu</t>
  </si>
  <si>
    <t>Jerry</t>
  </si>
  <si>
    <t>Noel</t>
  </si>
  <si>
    <t>jxn5348@psu.edu</t>
  </si>
  <si>
    <t>Jimmy</t>
  </si>
  <si>
    <t>Hadid</t>
  </si>
  <si>
    <t>hadizzle98@gmail.com</t>
  </si>
  <si>
    <t>John</t>
  </si>
  <si>
    <t>Savarese</t>
  </si>
  <si>
    <t>jjs7117@psu.edu</t>
  </si>
  <si>
    <t>Jolie</t>
  </si>
  <si>
    <t>Carey</t>
  </si>
  <si>
    <t>jsc460@psu.edu</t>
  </si>
  <si>
    <t>Jonathan</t>
  </si>
  <si>
    <t>Raco</t>
  </si>
  <si>
    <t>jfr5491@psu.edu</t>
  </si>
  <si>
    <t>Albarran</t>
  </si>
  <si>
    <t>jonalbarran@gmail.com</t>
  </si>
  <si>
    <t>Semmer</t>
  </si>
  <si>
    <t>jvs6630@psu.edu</t>
  </si>
  <si>
    <t>610-324-9787</t>
  </si>
  <si>
    <t>Havel</t>
  </si>
  <si>
    <t>juliahavel16@gmail.com</t>
  </si>
  <si>
    <t>Coulter</t>
  </si>
  <si>
    <t>jkc5677@psu.edu</t>
  </si>
  <si>
    <t>610-608-7511</t>
  </si>
  <si>
    <t>Warren</t>
  </si>
  <si>
    <t>jwswimmer33@gmail.com</t>
  </si>
  <si>
    <t>1-847-987-3170</t>
  </si>
  <si>
    <t>Justin</t>
  </si>
  <si>
    <t>Whitmoyer</t>
  </si>
  <si>
    <t>jmw7163@psu.edu</t>
  </si>
  <si>
    <t>570-337-1189</t>
  </si>
  <si>
    <t>Kaely</t>
  </si>
  <si>
    <t>Banega</t>
  </si>
  <si>
    <t>kjb6264@psu.edu</t>
  </si>
  <si>
    <t>Karli</t>
  </si>
  <si>
    <t>Koleno</t>
  </si>
  <si>
    <t>kjk51@psu.edu</t>
  </si>
  <si>
    <t>814-571-6209</t>
  </si>
  <si>
    <t>Katarina</t>
  </si>
  <si>
    <t>Ecker</t>
  </si>
  <si>
    <t>kecker690@gmail.com</t>
  </si>
  <si>
    <t>(717) 681-7406</t>
  </si>
  <si>
    <t>Katelyn</t>
  </si>
  <si>
    <t>krl5364@psu.edu</t>
  </si>
  <si>
    <t>kjs6321@psu.edu</t>
  </si>
  <si>
    <t>814-777-5165</t>
  </si>
  <si>
    <t>Katerina</t>
  </si>
  <si>
    <t>Balukas</t>
  </si>
  <si>
    <t>krb5737@psu.edu</t>
  </si>
  <si>
    <t>Katherine</t>
  </si>
  <si>
    <t>Hart</t>
  </si>
  <si>
    <t>klh6020@psu.edu</t>
  </si>
  <si>
    <t>Kathryn</t>
  </si>
  <si>
    <t>Boothby</t>
  </si>
  <si>
    <t>kathryn.boothby578@gmail.com</t>
  </si>
  <si>
    <t>Moninger</t>
  </si>
  <si>
    <t>kzm5910@psu.edu</t>
  </si>
  <si>
    <t>724-691-7080</t>
  </si>
  <si>
    <t>Kaylie</t>
  </si>
  <si>
    <t>Byrne</t>
  </si>
  <si>
    <t>kxb1073@psu.edu</t>
  </si>
  <si>
    <t>kelli</t>
  </si>
  <si>
    <t>Macauley</t>
  </si>
  <si>
    <t>Kelli</t>
  </si>
  <si>
    <t>McEachern</t>
  </si>
  <si>
    <t>kbm5768@psu.edu</t>
  </si>
  <si>
    <t>Kelly</t>
  </si>
  <si>
    <t>ksm5591@psu.edu</t>
  </si>
  <si>
    <t>267-693-0729</t>
  </si>
  <si>
    <t>Seifried</t>
  </si>
  <si>
    <t>kellyseifried2018@gmail.com</t>
  </si>
  <si>
    <t>Kendall</t>
  </si>
  <si>
    <t>Marte</t>
  </si>
  <si>
    <t>klm6568@psu.edu</t>
  </si>
  <si>
    <t>Kierstin</t>
  </si>
  <si>
    <t>Charlier</t>
  </si>
  <si>
    <t>kcharlier26@gmail.com</t>
  </si>
  <si>
    <t>Kimberly</t>
  </si>
  <si>
    <t>Shea</t>
  </si>
  <si>
    <t>kim.shea07@gmail.com</t>
  </si>
  <si>
    <t>813-541-6650</t>
  </si>
  <si>
    <t>Reid</t>
  </si>
  <si>
    <t>kfr5241@psu.edu</t>
  </si>
  <si>
    <t>Kristina</t>
  </si>
  <si>
    <t>Mantha</t>
  </si>
  <si>
    <t>kam6564@psu.edu</t>
  </si>
  <si>
    <t>Kylaisewell6@gmail.com</t>
  </si>
  <si>
    <t>Siskron-Leonard</t>
  </si>
  <si>
    <t>krs5763@psu.edu</t>
  </si>
  <si>
    <t>Linn</t>
  </si>
  <si>
    <t>kbl5427@psu.edu</t>
  </si>
  <si>
    <t>Franek</t>
  </si>
  <si>
    <t>kxf5117@psu.edu</t>
  </si>
  <si>
    <t>Kylie</t>
  </si>
  <si>
    <t>DeWald</t>
  </si>
  <si>
    <t>kmd6470@psu.edu</t>
  </si>
  <si>
    <t>Abele</t>
  </si>
  <si>
    <t>lka5165@psu.edu</t>
  </si>
  <si>
    <t>Briggs</t>
  </si>
  <si>
    <t>lnb5314@psu.edu</t>
  </si>
  <si>
    <t>Beshada</t>
  </si>
  <si>
    <t>lnb5290@psu.edu</t>
  </si>
  <si>
    <t>Lexi</t>
  </si>
  <si>
    <t>Tingley</t>
  </si>
  <si>
    <t>lxt366@psu.edu</t>
  </si>
  <si>
    <t>Lina</t>
  </si>
  <si>
    <t>White</t>
  </si>
  <si>
    <t>linawhite4004@gmail.com</t>
  </si>
  <si>
    <t>Lucille</t>
  </si>
  <si>
    <t>Filyaw</t>
  </si>
  <si>
    <t>lmf5691@psu.edu</t>
  </si>
  <si>
    <t>301-219-0298</t>
  </si>
  <si>
    <t>Luke</t>
  </si>
  <si>
    <t>Sinn</t>
  </si>
  <si>
    <t>lps5372@psu.edu</t>
  </si>
  <si>
    <t>Lydia</t>
  </si>
  <si>
    <t>Neuhauser</t>
  </si>
  <si>
    <t>lkn5115@psu.edu</t>
  </si>
  <si>
    <t>Madeline</t>
  </si>
  <si>
    <t>Yuhasz</t>
  </si>
  <si>
    <t>mey5094@psu.edu</t>
  </si>
  <si>
    <t>518-955-5017</t>
  </si>
  <si>
    <t>Martinez</t>
  </si>
  <si>
    <t>mom5872@psu.edu</t>
  </si>
  <si>
    <t>Fogg</t>
  </si>
  <si>
    <t>mzf5524@psu.edu</t>
  </si>
  <si>
    <t>Madison</t>
  </si>
  <si>
    <t>Kemp</t>
  </si>
  <si>
    <t>mdsnkemp@gmail.com</t>
  </si>
  <si>
    <t>Boyle</t>
  </si>
  <si>
    <t>mjb1161@psu.edu</t>
  </si>
  <si>
    <t>717-916-0625</t>
  </si>
  <si>
    <t>Marguerite</t>
  </si>
  <si>
    <t>Loptson</t>
  </si>
  <si>
    <t>mgl5210@psu.edu</t>
  </si>
  <si>
    <t>mdm6076@psu.edu</t>
  </si>
  <si>
    <t>Marlena</t>
  </si>
  <si>
    <t>Pristas</t>
  </si>
  <si>
    <t>mnp5248@psu.edu</t>
  </si>
  <si>
    <t>Mathew</t>
  </si>
  <si>
    <t>Hoffman</t>
  </si>
  <si>
    <t>mjhoff21@gmail.com</t>
  </si>
  <si>
    <t>Matt</t>
  </si>
  <si>
    <t>Polonus</t>
  </si>
  <si>
    <t>mqp5524@psu.edu</t>
  </si>
  <si>
    <t>Van Meter</t>
  </si>
  <si>
    <t>mkv5192@psu.edu</t>
  </si>
  <si>
    <t>610-247-9130</t>
  </si>
  <si>
    <t>Biedronski</t>
  </si>
  <si>
    <t>mbb5546@psu.edu</t>
  </si>
  <si>
    <t>Reeves</t>
  </si>
  <si>
    <t>mlr5815@psu.edu</t>
  </si>
  <si>
    <t>570-533-3577</t>
  </si>
  <si>
    <t>Quinn</t>
  </si>
  <si>
    <t>mvq5067@psu.edu</t>
  </si>
  <si>
    <t>Melissa</t>
  </si>
  <si>
    <t>Guznay</t>
  </si>
  <si>
    <t>mzg5677@psu.edu</t>
  </si>
  <si>
    <t>Harrop</t>
  </si>
  <si>
    <t>mbh5569@psu.edu</t>
  </si>
  <si>
    <t>Meng-Rung</t>
  </si>
  <si>
    <t>Tsai</t>
  </si>
  <si>
    <t>lily9878@gmail.com</t>
  </si>
  <si>
    <t>Mia</t>
  </si>
  <si>
    <t>Zappacosta</t>
  </si>
  <si>
    <t>mpz7@psu.edu</t>
  </si>
  <si>
    <t>Michael</t>
  </si>
  <si>
    <t>Fleck</t>
  </si>
  <si>
    <t>mdf5414@psu.edu</t>
  </si>
  <si>
    <t>Chismar</t>
  </si>
  <si>
    <t>mlc6090@psu.edu</t>
  </si>
  <si>
    <t>717-480-2359</t>
  </si>
  <si>
    <t>Miranda</t>
  </si>
  <si>
    <t>Grier-Spratley</t>
  </si>
  <si>
    <t>meg5916@psu.edu</t>
  </si>
  <si>
    <t>703-582-3508</t>
  </si>
  <si>
    <t>Murphy</t>
  </si>
  <si>
    <t>mrm6434@psu.edu</t>
  </si>
  <si>
    <t>716-908-8889</t>
  </si>
  <si>
    <t>Mitchell</t>
  </si>
  <si>
    <t>Dunay</t>
  </si>
  <si>
    <t>mvd5852@psu.edu</t>
  </si>
  <si>
    <t>Molly</t>
  </si>
  <si>
    <t>Sweigart</t>
  </si>
  <si>
    <t>mls6656@psu.edu</t>
  </si>
  <si>
    <t>Davila</t>
  </si>
  <si>
    <t>mmd6087@psu.edu</t>
  </si>
  <si>
    <t>Fassero</t>
  </si>
  <si>
    <t>mbf5454@psu.edu</t>
  </si>
  <si>
    <t>570-246-3220</t>
  </si>
  <si>
    <t>Wahlers</t>
  </si>
  <si>
    <t>mzw5643@psu.edu</t>
  </si>
  <si>
    <t>Mya</t>
  </si>
  <si>
    <t>Hagans</t>
  </si>
  <si>
    <t>mqh5783@psu.edu</t>
  </si>
  <si>
    <t>Nick</t>
  </si>
  <si>
    <t>Hughes</t>
  </si>
  <si>
    <t>neh5182@psu.edu</t>
  </si>
  <si>
    <t>Nicole</t>
  </si>
  <si>
    <t>Bowen</t>
  </si>
  <si>
    <t>nxb5319@psu.edu</t>
  </si>
  <si>
    <t>Rosenthal</t>
  </si>
  <si>
    <t>nzr5225@psu.edu</t>
  </si>
  <si>
    <t>Nikolette</t>
  </si>
  <si>
    <t>Nolte</t>
  </si>
  <si>
    <t>nmn5225@psu.edu</t>
  </si>
  <si>
    <t>Nya</t>
  </si>
  <si>
    <t>naw5390@psu.edu</t>
  </si>
  <si>
    <t>oad5032@psu.edu</t>
  </si>
  <si>
    <t>Oluwanifemi</t>
  </si>
  <si>
    <t>Awosika</t>
  </si>
  <si>
    <t>ooa5198@psu.edu</t>
  </si>
  <si>
    <t>Owen</t>
  </si>
  <si>
    <t>Bennett</t>
  </si>
  <si>
    <t>omb5109@psu.edu</t>
  </si>
  <si>
    <t>717-350-2044</t>
  </si>
  <si>
    <t>Oyinkansola</t>
  </si>
  <si>
    <t>Akanbi</t>
  </si>
  <si>
    <t>ova5101@psu.edu</t>
  </si>
  <si>
    <t>Gallagher</t>
  </si>
  <si>
    <t>pjg5405@psu.edu</t>
  </si>
  <si>
    <t>Peyton</t>
  </si>
  <si>
    <t>Mehalick</t>
  </si>
  <si>
    <t>pmm5613@psu.edu</t>
  </si>
  <si>
    <t>Philippa</t>
  </si>
  <si>
    <t>Holtforster</t>
  </si>
  <si>
    <t>pjh5535@psu.edu</t>
  </si>
  <si>
    <t>Preston</t>
  </si>
  <si>
    <t>Pearce</t>
  </si>
  <si>
    <t>pwp5170@psu.edu</t>
  </si>
  <si>
    <t>Deitrick</t>
  </si>
  <si>
    <t>qvd5047@psu.edu</t>
  </si>
  <si>
    <t>rachel</t>
  </si>
  <si>
    <t>weis</t>
  </si>
  <si>
    <t>rsw5312@psu.edu</t>
  </si>
  <si>
    <t>Bodnar</t>
  </si>
  <si>
    <t>rachel.a.bodnar@gmail.com</t>
  </si>
  <si>
    <t>raghad</t>
  </si>
  <si>
    <t>abaoud</t>
  </si>
  <si>
    <t>raghad.abaoud@gmail.com</t>
  </si>
  <si>
    <t>Raina</t>
  </si>
  <si>
    <t>Laing</t>
  </si>
  <si>
    <t>rol5213@psu.edu</t>
  </si>
  <si>
    <t>267-474-9442</t>
  </si>
  <si>
    <t>Reese</t>
  </si>
  <si>
    <t>Bernstein</t>
  </si>
  <si>
    <t>reb5696@psu.edu</t>
  </si>
  <si>
    <t>Reghan</t>
  </si>
  <si>
    <t>Lieberman</t>
  </si>
  <si>
    <t>rul484@psu.edu</t>
  </si>
  <si>
    <t>717-406-7770</t>
  </si>
  <si>
    <t>Riley</t>
  </si>
  <si>
    <t>Eisler</t>
  </si>
  <si>
    <t>rae5206@psu.edu</t>
  </si>
  <si>
    <t>Longenderfer</t>
  </si>
  <si>
    <t>ral5597@psu.edu</t>
  </si>
  <si>
    <t>Ritesh</t>
  </si>
  <si>
    <t>Bhardwaj</t>
  </si>
  <si>
    <t>rqb5558@psu.edu</t>
  </si>
  <si>
    <t>Riya</t>
  </si>
  <si>
    <t>rbp5316@psu.edu</t>
  </si>
  <si>
    <t>Tucker</t>
  </si>
  <si>
    <t>rht5021@psu.edu</t>
  </si>
  <si>
    <t>Wagner</t>
  </si>
  <si>
    <t>rbw5309@psu.edu</t>
  </si>
  <si>
    <t>Ryane</t>
  </si>
  <si>
    <t>Twobulls</t>
  </si>
  <si>
    <t>ret5239@psu.edu</t>
  </si>
  <si>
    <t>Saket</t>
  </si>
  <si>
    <t>Bakshi</t>
  </si>
  <si>
    <t>saketbakshi16@gmail.com</t>
  </si>
  <si>
    <t>Goldman</t>
  </si>
  <si>
    <t>srg5549@psu.edu</t>
  </si>
  <si>
    <t>Patterson</t>
  </si>
  <si>
    <t>sop5318@psu.edu</t>
  </si>
  <si>
    <t>814-380-0469</t>
  </si>
  <si>
    <t>Freese</t>
  </si>
  <si>
    <t>sjf5481@psu.edu</t>
  </si>
  <si>
    <t>Jones</t>
  </si>
  <si>
    <t>snj5154@psu.edu</t>
  </si>
  <si>
    <t>Gingrich</t>
  </si>
  <si>
    <t>sarahcgingrich@gmail.com</t>
  </si>
  <si>
    <t>Watkins</t>
  </si>
  <si>
    <t>sjw5905@psu.edu</t>
  </si>
  <si>
    <t>202-779-0618</t>
  </si>
  <si>
    <t>Sacker</t>
  </si>
  <si>
    <t>sas1225@psu.edu</t>
  </si>
  <si>
    <t>sarah</t>
  </si>
  <si>
    <t>smith</t>
  </si>
  <si>
    <t>sus826@psu.edu</t>
  </si>
  <si>
    <t>Blady</t>
  </si>
  <si>
    <t>sfb5503@psu.edu</t>
  </si>
  <si>
    <t>Scalamogna</t>
  </si>
  <si>
    <t>srs6173@psu.edu</t>
  </si>
  <si>
    <t>Seamus</t>
  </si>
  <si>
    <t>smc6908@psu.edu</t>
  </si>
  <si>
    <t>Sean</t>
  </si>
  <si>
    <t>Gold</t>
  </si>
  <si>
    <t>ssg23@psu.edu</t>
  </si>
  <si>
    <t>serawet</t>
  </si>
  <si>
    <t>Yohanes</t>
  </si>
  <si>
    <t>smy5304@psu.edu</t>
  </si>
  <si>
    <t>Sierra</t>
  </si>
  <si>
    <t>sps6042@psu.edu</t>
  </si>
  <si>
    <t>Sjoblom</t>
  </si>
  <si>
    <t>Lisa Linnea</t>
  </si>
  <si>
    <t>lps5453@psu.edu</t>
  </si>
  <si>
    <t>Skyeler</t>
  </si>
  <si>
    <t>Cella</t>
  </si>
  <si>
    <t>slc5953@psu.edu</t>
  </si>
  <si>
    <t>Star</t>
  </si>
  <si>
    <t>Lawson</t>
  </si>
  <si>
    <t>starrylawson@yahoo.com</t>
  </si>
  <si>
    <t>SUN</t>
  </si>
  <si>
    <t>HAN</t>
  </si>
  <si>
    <t>hanbellevue1@outlook.com</t>
  </si>
  <si>
    <t>Sydney</t>
  </si>
  <si>
    <t>Callenberger</t>
  </si>
  <si>
    <t>sec5703@psu.edu</t>
  </si>
  <si>
    <t>814-404-9955</t>
  </si>
  <si>
    <t>Lau</t>
  </si>
  <si>
    <t>sydneylau98@gmail.com</t>
  </si>
  <si>
    <t>Tanner</t>
  </si>
  <si>
    <t>tmn5270@psu.edu</t>
  </si>
  <si>
    <t>Tara</t>
  </si>
  <si>
    <t>Patale</t>
  </si>
  <si>
    <t>republicd29@gmail.com</t>
  </si>
  <si>
    <t>845-499-8964</t>
  </si>
  <si>
    <t>Dublin</t>
  </si>
  <si>
    <t>ted5265@psu.edu</t>
  </si>
  <si>
    <t>201-220-3183</t>
  </si>
  <si>
    <t>taydavis01@comcast.net</t>
  </si>
  <si>
    <t>Tobey</t>
  </si>
  <si>
    <t>Prime</t>
  </si>
  <si>
    <t>primetobey@gmail.com</t>
  </si>
  <si>
    <t>Toni</t>
  </si>
  <si>
    <t>Allen</t>
  </si>
  <si>
    <t>tka5173@psu.edu</t>
  </si>
  <si>
    <t>Vannesa</t>
  </si>
  <si>
    <t>Bratton</t>
  </si>
  <si>
    <t>vbratton721@gmail.com</t>
  </si>
  <si>
    <t>(702)503-7156</t>
  </si>
  <si>
    <t>Post</t>
  </si>
  <si>
    <t>vfp5085@psu.edu</t>
  </si>
  <si>
    <t>Negley</t>
  </si>
  <si>
    <t>tnegley1@icloud.com</t>
  </si>
  <si>
    <t>Medina</t>
  </si>
  <si>
    <t>vkm5163@psu.edu</t>
  </si>
  <si>
    <t>Wai Hang</t>
  </si>
  <si>
    <t>Chan</t>
  </si>
  <si>
    <t>sunnychan7@yahoo.com.hk</t>
  </si>
  <si>
    <t>Walancia</t>
  </si>
  <si>
    <t>Registre</t>
  </si>
  <si>
    <t>Will</t>
  </si>
  <si>
    <t>Lehmann</t>
  </si>
  <si>
    <t>willlehmann@me.com</t>
  </si>
  <si>
    <t>Wuyan</t>
  </si>
  <si>
    <t>wxw51@psu.edu</t>
  </si>
  <si>
    <t>YIHANG</t>
  </si>
  <si>
    <t>YIN</t>
  </si>
  <si>
    <t>yky5187@psu.edu</t>
  </si>
  <si>
    <t>Zachary</t>
  </si>
  <si>
    <t>End</t>
  </si>
  <si>
    <t>zje5027@psu.edu</t>
  </si>
  <si>
    <t>Zhiyue</t>
  </si>
  <si>
    <t>Fu</t>
  </si>
  <si>
    <t>zbf5061@psu.edu</t>
  </si>
  <si>
    <t>S1 AMT</t>
  </si>
  <si>
    <t>S1 NOTES</t>
  </si>
  <si>
    <t>S2 AMT</t>
  </si>
  <si>
    <t>S2 NOTES</t>
  </si>
  <si>
    <t>S3 AMT</t>
  </si>
  <si>
    <t>S3 NOTES</t>
  </si>
  <si>
    <t>S4 AMT</t>
  </si>
  <si>
    <t>S4 NOTES</t>
  </si>
  <si>
    <t>S5 AMT</t>
  </si>
  <si>
    <t>S5 NOTES</t>
  </si>
  <si>
    <t>FINAL AMT</t>
  </si>
  <si>
    <t>READY?</t>
  </si>
  <si>
    <t>PAY DATE</t>
  </si>
  <si>
    <t>SUBMITTER</t>
  </si>
  <si>
    <t>Was paid 30 from PANDAA</t>
  </si>
  <si>
    <t xml:space="preserve">Jad </t>
  </si>
  <si>
    <t>Showed up 20 minutes late for session 1</t>
  </si>
  <si>
    <t>Needs to provide 1-94 or Admission Statement</t>
  </si>
  <si>
    <t>This amount includes expected 30 minutes from next session</t>
  </si>
  <si>
    <t>About 25 minutes of S1 left</t>
  </si>
  <si>
    <t>3 hours on 8/28</t>
  </si>
  <si>
    <t>Includes estimate for next session</t>
  </si>
  <si>
    <t>Rajal Nivargi</t>
  </si>
  <si>
    <t>Aaliyah Wyatt</t>
  </si>
  <si>
    <t>Shreyas Sundar</t>
  </si>
  <si>
    <t>4 hours on 9/25/19</t>
  </si>
  <si>
    <t>Chenyin Zhang</t>
  </si>
  <si>
    <t>ELIGIBILITY KEY:</t>
  </si>
  <si>
    <t>PAI</t>
  </si>
  <si>
    <t>INELIGIBILITY CODE:</t>
  </si>
  <si>
    <t>PHASE:</t>
  </si>
  <si>
    <t>&gt;= 12</t>
  </si>
  <si>
    <t>didn't meet PAI, SPIN, HC criteria</t>
  </si>
  <si>
    <t>Screening</t>
  </si>
  <si>
    <t>&gt;= 7</t>
  </si>
  <si>
    <t>RIST &lt; 80</t>
  </si>
  <si>
    <t>Session 1</t>
  </si>
  <si>
    <t>&lt;= 3</t>
  </si>
  <si>
    <t>non-removable metal</t>
  </si>
  <si>
    <t>Session 2</t>
  </si>
  <si>
    <t>vision</t>
  </si>
  <si>
    <t>Session 3</t>
  </si>
  <si>
    <t>weight (&gt;250 lbs.)</t>
  </si>
  <si>
    <t>Session 4</t>
  </si>
  <si>
    <t>claustrophobic</t>
  </si>
  <si>
    <t>Session 5</t>
  </si>
  <si>
    <t>tattoo above shoulders</t>
  </si>
  <si>
    <t>not in the area/moved</t>
  </si>
  <si>
    <t>neurological disorder or other condition</t>
  </si>
  <si>
    <t>current substance dependence</t>
  </si>
  <si>
    <t>Today's Date</t>
  </si>
  <si>
    <t>other psychotic disorder</t>
  </si>
  <si>
    <t>age</t>
  </si>
  <si>
    <t>FMRI GROUP</t>
  </si>
  <si>
    <t>FMRI ELIGIBLE (1 = YES)</t>
  </si>
  <si>
    <t>month</t>
  </si>
  <si>
    <t>year</t>
  </si>
  <si>
    <t>from master</t>
  </si>
  <si>
    <t>MANUAL</t>
  </si>
  <si>
    <t>if date is &lt; today</t>
  </si>
  <si>
    <t>COUNT</t>
  </si>
  <si>
    <t>YEAR</t>
  </si>
  <si>
    <t>MONTH</t>
  </si>
  <si>
    <t>Time_chronological</t>
  </si>
  <si>
    <t>EXPECTED</t>
  </si>
  <si>
    <t>PROJECTED</t>
  </si>
  <si>
    <t>ENROLLED FMRI</t>
  </si>
  <si>
    <t>ENROLLED NO FMRI</t>
  </si>
  <si>
    <t>TOTAL ENROLLED</t>
  </si>
  <si>
    <t>TOTAL EXCLUDED</t>
  </si>
  <si>
    <t>C_EXPECTED</t>
  </si>
  <si>
    <t>C_PROJECTED</t>
  </si>
  <si>
    <t>C_ENROLLED FMRI</t>
  </si>
  <si>
    <t>C_ENROLLED NO FMRI</t>
  </si>
  <si>
    <t>C_EXCLUDED</t>
  </si>
  <si>
    <t>Apr_2019</t>
  </si>
  <si>
    <t>May_2019</t>
  </si>
  <si>
    <t>June_2019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</si>
  <si>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</si>
  <si>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</si>
  <si>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</si>
  <si>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</si>
  <si>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</si>
  <si>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</si>
  <si>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</si>
  <si>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</si>
  <si>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</si>
  <si>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R01 TIMELINE</t>
  </si>
  <si>
    <t>Y1:</t>
  </si>
  <si>
    <t>Y2:</t>
  </si>
  <si>
    <t>12 MO FU</t>
  </si>
  <si>
    <t>Y3:</t>
  </si>
  <si>
    <t>Y4:</t>
  </si>
  <si>
    <t>Y5:</t>
  </si>
  <si>
    <t>INIT</t>
  </si>
  <si>
    <t>S1_DATE</t>
  </si>
  <si>
    <t>S2_DATE</t>
  </si>
  <si>
    <t>S3_DATE</t>
  </si>
  <si>
    <t>S4_DATE</t>
  </si>
  <si>
    <t>1</t>
  </si>
  <si>
    <t>L W</t>
  </si>
  <si>
    <t>2019-08-06 00:00:00</t>
  </si>
  <si>
    <t>2</t>
  </si>
  <si>
    <t>H S</t>
  </si>
  <si>
    <t>2019-08-07 00:00:00</t>
  </si>
  <si>
    <t>3</t>
  </si>
  <si>
    <t>O C</t>
  </si>
  <si>
    <t>2019-08-27 00:00:00</t>
  </si>
  <si>
    <t>4</t>
  </si>
  <si>
    <t>A Z</t>
  </si>
  <si>
    <t>2019-08-28 00:00:00</t>
  </si>
  <si>
    <t>5</t>
  </si>
  <si>
    <t>E K</t>
  </si>
  <si>
    <t>2019-08-16 00:00:00</t>
  </si>
  <si>
    <t>6</t>
  </si>
  <si>
    <t>J S</t>
  </si>
  <si>
    <t>2019-08-29 00:00:00</t>
  </si>
  <si>
    <t>7</t>
  </si>
  <si>
    <t>K S</t>
  </si>
  <si>
    <t>2019-08-15 00:00:00</t>
  </si>
  <si>
    <t>8</t>
  </si>
  <si>
    <t>H B</t>
  </si>
  <si>
    <t>9</t>
  </si>
  <si>
    <t>J R</t>
  </si>
  <si>
    <t>2019-08-22 00:00:00</t>
  </si>
  <si>
    <t>10</t>
  </si>
  <si>
    <t>A E</t>
  </si>
  <si>
    <t>2019-08-19 00:00:00</t>
  </si>
  <si>
    <t>11</t>
  </si>
  <si>
    <t>C S</t>
  </si>
  <si>
    <t>2019-08-11 00:00:00</t>
  </si>
  <si>
    <t>12</t>
  </si>
  <si>
    <t>T S</t>
  </si>
  <si>
    <t>GROUPED: SL</t>
  </si>
  <si>
    <t>CONTACT FORM</t>
  </si>
  <si>
    <t>INFORMED CONSENT</t>
  </si>
  <si>
    <t>SCID-5 OVERVIEW</t>
  </si>
  <si>
    <t>SCID-5 DS</t>
  </si>
  <si>
    <t>SCID-5 CV</t>
  </si>
  <si>
    <t>SES LADDER</t>
  </si>
  <si>
    <t>SIDP</t>
  </si>
  <si>
    <t>SIS LETHALITY</t>
  </si>
  <si>
    <t>QUALTRICS: DEMOGRAPHICS</t>
  </si>
  <si>
    <t>QUALTRICS: ANNETT HANDEDNESS</t>
  </si>
  <si>
    <t>QUALTRICS: S2</t>
  </si>
  <si>
    <t>RIST</t>
  </si>
  <si>
    <t>Name</t>
  </si>
  <si>
    <t>Sex</t>
  </si>
  <si>
    <t>Age</t>
  </si>
  <si>
    <t>Phone</t>
  </si>
  <si>
    <t xml:space="preserve">Additional Contact </t>
  </si>
  <si>
    <t xml:space="preserve">Mother - Laurie Strouse, </t>
  </si>
  <si>
    <t>Michaud</t>
  </si>
  <si>
    <t>scm5402@psu.edu</t>
  </si>
  <si>
    <t>S3 FU</t>
  </si>
  <si>
    <t>Tricia</t>
  </si>
  <si>
    <t>Zechman</t>
  </si>
  <si>
    <t>zechmantricia@gmail.com</t>
  </si>
  <si>
    <t>Thompson</t>
  </si>
  <si>
    <t>bryce.t.17@gmail.com</t>
  </si>
  <si>
    <t>Joe</t>
  </si>
  <si>
    <t>Guda</t>
  </si>
  <si>
    <t>jxg5641@psu.edu</t>
  </si>
  <si>
    <t>Kerr</t>
  </si>
  <si>
    <t>aek160@gmail.com</t>
  </si>
  <si>
    <t>mmm997@psu.edu</t>
  </si>
  <si>
    <t>Mackenzie</t>
  </si>
  <si>
    <t>Moyer</t>
  </si>
  <si>
    <t>Exs5335@psu.edu</t>
  </si>
  <si>
    <t>avw5447@psu.edu</t>
  </si>
  <si>
    <t>Wasson</t>
  </si>
  <si>
    <t>solimpo@pennstatehealth.psu.edu</t>
  </si>
  <si>
    <t>Savannah</t>
  </si>
  <si>
    <t>Alyssa Hanford</t>
  </si>
  <si>
    <t>Tyler</t>
  </si>
  <si>
    <t>Peters</t>
  </si>
  <si>
    <t>tnpeters99@gmail.com</t>
  </si>
  <si>
    <t>Jordan</t>
  </si>
  <si>
    <t>Sugg</t>
  </si>
  <si>
    <t>jks5427@psu.edu</t>
  </si>
  <si>
    <t>Mcastles98@outlook.com</t>
  </si>
  <si>
    <t>Madelynn</t>
  </si>
  <si>
    <t>Castles</t>
  </si>
  <si>
    <t>Matthiew</t>
  </si>
  <si>
    <t>Haines</t>
  </si>
  <si>
    <t>mzh687@psu.edu</t>
  </si>
  <si>
    <t>Legend</t>
  </si>
  <si>
    <t>Cox</t>
  </si>
  <si>
    <t>legendlcox@zoho.com</t>
  </si>
  <si>
    <t>Isenberg</t>
  </si>
  <si>
    <t>Amodeo</t>
  </si>
  <si>
    <t>Amanda_amodeo@aol.com</t>
  </si>
  <si>
    <t>isenbse@gmail.com</t>
  </si>
  <si>
    <t>Savannah Olimpo</t>
  </si>
  <si>
    <t>Olimpo</t>
  </si>
  <si>
    <t>Coleman Cush</t>
  </si>
  <si>
    <t>Morgan Fassero</t>
  </si>
  <si>
    <t>Nzr5225@psu.edu</t>
  </si>
  <si>
    <t>Ryane Twobulls</t>
  </si>
  <si>
    <t>847-385-4881</t>
  </si>
  <si>
    <t>Alexis Burke</t>
  </si>
  <si>
    <t>adakotaburke@gmail.com</t>
  </si>
  <si>
    <t>Lundstrom</t>
  </si>
  <si>
    <t>eal259@psu.edu</t>
  </si>
  <si>
    <t>Ally</t>
  </si>
  <si>
    <t>aaw5303@psu.edu</t>
  </si>
  <si>
    <t>Jonesam17@juniata.edu</t>
  </si>
  <si>
    <t>Darrough</t>
  </si>
  <si>
    <t>Rjd5430@psu.edu</t>
  </si>
  <si>
    <t>Barna</t>
  </si>
  <si>
    <t>emb26@pct.edu</t>
  </si>
  <si>
    <t>Naculich</t>
  </si>
  <si>
    <t>Bnaculich@gmail.com</t>
  </si>
  <si>
    <t>Asthana</t>
  </si>
  <si>
    <t>Shravan</t>
  </si>
  <si>
    <t>sfa5385@psu.edu</t>
  </si>
  <si>
    <t>odiesmith1999@gmail.com</t>
  </si>
  <si>
    <t>Kathleen</t>
  </si>
  <si>
    <t>Cempa</t>
  </si>
  <si>
    <t>ksc45@psu.edu</t>
  </si>
  <si>
    <t>Maddie</t>
  </si>
  <si>
    <t>maddieporter310@gmail.com</t>
  </si>
  <si>
    <t>Hall</t>
  </si>
  <si>
    <t>ohall1118@gmail.com</t>
  </si>
  <si>
    <t>Norris</t>
  </si>
  <si>
    <t>Tracklover77w@yahoo.com</t>
  </si>
  <si>
    <t>Showed up for session and Daniel did not remember appointment,</t>
  </si>
  <si>
    <t>Should be paid for 4.5 hours of session 4</t>
  </si>
  <si>
    <t>Heidi</t>
  </si>
  <si>
    <t>Barkley</t>
  </si>
  <si>
    <t>Hxb77@psu.edu</t>
  </si>
  <si>
    <t>Terrance</t>
  </si>
  <si>
    <t>Blanton</t>
  </si>
  <si>
    <t>terranceblanton20@gmail.com</t>
  </si>
  <si>
    <t>Trevenen</t>
  </si>
  <si>
    <t>etrevenen10@gmail.com</t>
  </si>
  <si>
    <t>Jaxson</t>
  </si>
  <si>
    <t>jde9@pct.edu</t>
  </si>
  <si>
    <t>Emilie</t>
  </si>
  <si>
    <t>Goss</t>
  </si>
  <si>
    <t>evg5289@psu.edu</t>
  </si>
  <si>
    <t>Amcoke94@gmail.com</t>
  </si>
  <si>
    <t>Allicia</t>
  </si>
  <si>
    <t>Coke</t>
  </si>
  <si>
    <t>Goussetis</t>
  </si>
  <si>
    <t>Nag5247@psu.edu</t>
  </si>
  <si>
    <t>Symptoms of Lyme Disease, causes blury vision</t>
  </si>
  <si>
    <t>Huck Life Sciences</t>
  </si>
  <si>
    <t>Metal rod?</t>
  </si>
  <si>
    <t>717-513-6515</t>
  </si>
  <si>
    <t>3, 5</t>
  </si>
  <si>
    <t>Kielar</t>
  </si>
  <si>
    <t>skielar1@gmail.com</t>
  </si>
  <si>
    <t>Holley</t>
  </si>
  <si>
    <t>courtneyholley14@gmail.com</t>
  </si>
  <si>
    <t>xxding95@gmail.com</t>
  </si>
  <si>
    <t>Xiaoxu</t>
  </si>
  <si>
    <t>Ding</t>
  </si>
  <si>
    <t>Woolgar</t>
  </si>
  <si>
    <t>mrw5640@psu.edu</t>
  </si>
  <si>
    <t>jvy5366@psu.edu</t>
  </si>
  <si>
    <t>Payton</t>
  </si>
  <si>
    <t>Holcomb</t>
  </si>
  <si>
    <t>plh5158@psu.edu</t>
  </si>
  <si>
    <t>Gross</t>
  </si>
  <si>
    <t>seg5419@psu.edu</t>
  </si>
  <si>
    <t>Hackenberg</t>
  </si>
  <si>
    <t>Tori</t>
  </si>
  <si>
    <t>tyh5094@psu.edu</t>
  </si>
  <si>
    <t>Kelsee</t>
  </si>
  <si>
    <t>Hern</t>
  </si>
  <si>
    <t>Kelsee.n.hern@gmail.com</t>
  </si>
  <si>
    <t>Susan</t>
  </si>
  <si>
    <t>Travis</t>
  </si>
  <si>
    <t>Stravis@bigspring.k12.pa.us</t>
  </si>
  <si>
    <t>Sarahlong127@gmail.com</t>
  </si>
  <si>
    <t>Long</t>
  </si>
  <si>
    <t>Lillie</t>
  </si>
  <si>
    <t>Keefer</t>
  </si>
  <si>
    <t>lkeefer@live.esu.edu</t>
  </si>
  <si>
    <t>570-495-3911</t>
  </si>
  <si>
    <t>kxs574@psu.edu</t>
  </si>
  <si>
    <t>Kate</t>
  </si>
  <si>
    <t>Suchanec</t>
  </si>
  <si>
    <t>Malek</t>
  </si>
  <si>
    <t>Rjm6483@psu.edu</t>
  </si>
  <si>
    <t>Anderson</t>
  </si>
  <si>
    <t>rma4711@lockhaven.edu</t>
  </si>
  <si>
    <t>Ferenci</t>
  </si>
  <si>
    <t>Hcf5048@psu.edu</t>
  </si>
  <si>
    <t>meranda</t>
  </si>
  <si>
    <t>merandakeister@yahoo.com</t>
  </si>
  <si>
    <t>keister</t>
  </si>
  <si>
    <t>717-646-9145</t>
  </si>
  <si>
    <t>ced5436@psu.edu</t>
  </si>
  <si>
    <t>Caitlin</t>
  </si>
  <si>
    <t>Aurora</t>
  </si>
  <si>
    <t>Nyman</t>
  </si>
  <si>
    <t>aurora.k.nyman@gmail.com</t>
  </si>
  <si>
    <t>Gracie</t>
  </si>
  <si>
    <t>Cain</t>
  </si>
  <si>
    <t>graciecain4@gmail.com</t>
  </si>
  <si>
    <t>Erj5094@psu.edu</t>
  </si>
  <si>
    <t>DiSalvo</t>
  </si>
  <si>
    <t>Andrea</t>
  </si>
  <si>
    <t>ald3891@gmail.com</t>
  </si>
  <si>
    <t>Raine</t>
  </si>
  <si>
    <t>weaverraine@gmail.com</t>
  </si>
  <si>
    <t>16 years old</t>
  </si>
  <si>
    <t>Mercedes</t>
  </si>
  <si>
    <t>Rothrock</t>
  </si>
  <si>
    <t>rothrockm62@gmail.com</t>
  </si>
  <si>
    <t>(727)317-1658</t>
  </si>
  <si>
    <t>Houtz</t>
  </si>
  <si>
    <t>emma.houtz@gmail.com</t>
  </si>
  <si>
    <t>Brooklyn</t>
  </si>
  <si>
    <t>Haugh</t>
  </si>
  <si>
    <t>Bmh5494@psu.edu</t>
  </si>
  <si>
    <t>Bingaman</t>
  </si>
  <si>
    <t>Albingaman98@gmail.com</t>
  </si>
  <si>
    <t>Neidig</t>
  </si>
  <si>
    <t>neidigalyssa@yahoo.com</t>
  </si>
  <si>
    <t>devon.nothstein@gmail.com</t>
  </si>
  <si>
    <t>Nothstein</t>
  </si>
  <si>
    <t>&gt;= 39</t>
  </si>
  <si>
    <t>&lt;= 18</t>
  </si>
  <si>
    <t>&lt;= 5</t>
  </si>
  <si>
    <t>Jiuqing "Cindy"</t>
  </si>
  <si>
    <t>Goes by Cindy</t>
  </si>
  <si>
    <t xml:space="preserve">	8145907226</t>
  </si>
  <si>
    <t>AM</t>
  </si>
  <si>
    <t xml:space="preserve">	9493005091</t>
  </si>
  <si>
    <t>Did not answer Q8</t>
  </si>
  <si>
    <t>Forsyth</t>
  </si>
  <si>
    <t>lauraj4syth@gmail.com</t>
  </si>
  <si>
    <t>sjh5752@psu.edu</t>
  </si>
  <si>
    <t>said she was neurologically abnormal</t>
  </si>
  <si>
    <t>Ross</t>
  </si>
  <si>
    <t>ajr5809@psu.edu</t>
  </si>
  <si>
    <t>nar5235@psu.edu</t>
  </si>
  <si>
    <t>Reigh</t>
  </si>
  <si>
    <t>Burnss@susqu.edu</t>
  </si>
  <si>
    <t>Burns</t>
  </si>
  <si>
    <t>Tashi</t>
  </si>
  <si>
    <t>Vaish</t>
  </si>
  <si>
    <t>tashi15196@gmail.com</t>
  </si>
  <si>
    <t>jennasmeykal@gmail.com</t>
  </si>
  <si>
    <t>Smeykal</t>
  </si>
  <si>
    <t>Completed  hours on 10/29 and 1 hour on 10/31</t>
  </si>
  <si>
    <t>oprokunina@pennstatehealth.psu.edu</t>
  </si>
  <si>
    <t>Olga</t>
  </si>
  <si>
    <t>Prokunina</t>
  </si>
  <si>
    <t>mbbilger8@gmail.com</t>
  </si>
  <si>
    <t>Bilger</t>
  </si>
  <si>
    <t>Abbigail</t>
  </si>
  <si>
    <t>Steiner</t>
  </si>
  <si>
    <t>ams75273@huskies.bloomu.edu</t>
  </si>
  <si>
    <t>Smriti</t>
  </si>
  <si>
    <t>smriti.gupta94@gmail.com</t>
  </si>
  <si>
    <t>aghaneyy19@gmail.com</t>
  </si>
  <si>
    <t>Study Finder</t>
  </si>
  <si>
    <t>10/31/919</t>
  </si>
  <si>
    <t>Most recent reminder</t>
  </si>
  <si>
    <t>Rescheduled: 11/1/19</t>
  </si>
  <si>
    <t>Should be paid for 2.5 hours from first visit and 1 hour for second visit on 10/23</t>
  </si>
  <si>
    <t>Invited S3</t>
  </si>
  <si>
    <t>Completed S3</t>
  </si>
  <si>
    <t>Abigail Cosgrove</t>
  </si>
  <si>
    <t>Swanand Vaidya</t>
  </si>
  <si>
    <t>Suraj Nair</t>
  </si>
  <si>
    <t>Tom Lefebvre</t>
  </si>
  <si>
    <t>Meghan Bokach</t>
  </si>
  <si>
    <t>Margaux Loptson</t>
  </si>
  <si>
    <t>Margaux</t>
  </si>
  <si>
    <t>Lopston</t>
  </si>
  <si>
    <t>Yedra</t>
  </si>
  <si>
    <t>jmy5324@psu.edu</t>
  </si>
  <si>
    <t>Jasmine Yedra</t>
  </si>
  <si>
    <t>Lenox</t>
  </si>
  <si>
    <t>Cassidy Lenox</t>
  </si>
  <si>
    <t>cassidy.lenox@yahoo.com</t>
  </si>
  <si>
    <t>Katherine Ott</t>
  </si>
  <si>
    <t xml:space="preserve">Katherine </t>
  </si>
  <si>
    <t>Kao5316@psu.edu</t>
  </si>
  <si>
    <t>Alexis Everhart </t>
  </si>
  <si>
    <t>Everhart</t>
  </si>
  <si>
    <t>Alexiseverhart17@icloud.com</t>
  </si>
  <si>
    <t>Jackie Lepore</t>
  </si>
  <si>
    <t>Jackie</t>
  </si>
  <si>
    <t>Lepore</t>
  </si>
  <si>
    <t>Jacquelinedlepore@gmail.com</t>
  </si>
  <si>
    <t>Mendygral</t>
  </si>
  <si>
    <t>Payton Mendygral</t>
  </si>
  <si>
    <t>pom5255@psu.edu</t>
  </si>
  <si>
    <t>Hannah Fingerhut</t>
  </si>
  <si>
    <t>Fingerhut</t>
  </si>
  <si>
    <t>Hannahnfingerhut@gmail.com</t>
  </si>
  <si>
    <t>Catherine Smith</t>
  </si>
  <si>
    <t>Cms7315@psu.edu</t>
  </si>
  <si>
    <t>Leah Youngquist</t>
  </si>
  <si>
    <t>Leah</t>
  </si>
  <si>
    <t>Youngquist</t>
  </si>
  <si>
    <t>Leah.youngquist@yale.ed</t>
  </si>
  <si>
    <t>Paige Vernon</t>
  </si>
  <si>
    <t>Paige</t>
  </si>
  <si>
    <t>Vernon</t>
  </si>
  <si>
    <t>pqv5031@psu.edu</t>
  </si>
  <si>
    <t>Zachary Hoopes</t>
  </si>
  <si>
    <t>Hoopes</t>
  </si>
  <si>
    <t>zah5069@psu.edu</t>
  </si>
  <si>
    <t>Jennifer Rhee</t>
  </si>
  <si>
    <t>Rhee</t>
  </si>
  <si>
    <t>rhee.jennifer1@gmail.com</t>
  </si>
  <si>
    <t>Promi Islam</t>
  </si>
  <si>
    <t>Promi</t>
  </si>
  <si>
    <t>Islam</t>
  </si>
  <si>
    <t>Promi@psu.edu</t>
  </si>
  <si>
    <t>Alexa Campbell</t>
  </si>
  <si>
    <t>Campbell</t>
  </si>
  <si>
    <t>Alexa14953@yahoo.com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</si>
</sst>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-###\-####"/>
    <numFmt numFmtId="165" formatCode="###"/>
    <numFmt numFmtId="166" formatCode="m/d/yyyy\ h:mm:ss"/>
  </numFmts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424242"/>
      <name val="Calibri"/>
      <family val="2"/>
      <scheme val="minor"/>
    </font>
    <font>
      <u/>
      <sz val="12"/>
      <color rgb="FF007DD6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rgb="FF202124"/>
      <name val="Calibri"/>
      <family val="2"/>
    </font>
    <font>
      <sz val="12"/>
      <color rgb="FF222222"/>
      <name val="Calibri"/>
      <family val="2"/>
    </font>
    <font>
      <sz val="12"/>
      <color rgb="FF555555"/>
      <name val="Calibri"/>
      <family val="2"/>
    </font>
    <font>
      <b/>
      <sz val="12"/>
      <color theme="1"/>
      <name val="Calibri"/>
      <family val="2"/>
    </font>
    <font>
      <u/>
      <sz val="12"/>
      <color rgb="FF007DD6"/>
      <name val="Calibri"/>
      <family val="2"/>
    </font>
    <font>
      <u/>
      <sz val="12"/>
      <color rgb="FF0066CC"/>
      <name val="Calibri"/>
      <family val="2"/>
    </font>
    <font>
      <sz val="12"/>
      <name val="Calibri"/>
      <family val="2"/>
    </font>
    <font>
      <sz val="12"/>
      <color rgb="FF424242"/>
      <name val="Calibri"/>
      <family val="2"/>
    </font>
    <font>
      <b/>
      <sz val="12"/>
      <color rgb="FF000000"/>
      <name val="Calibri"/>
      <family val="2"/>
    </font>
    <font>
      <sz val="12"/>
      <color rgb="FF212121"/>
      <name val="Calibri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Calibri (Body)"/>
    </font>
    <font>
      <sz val="12"/>
      <color rgb="FF000000"/>
      <name val="Arial"/>
      <family val="2"/>
    </font>
    <font>
      <sz val="12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2" applyAlignment="1">
      <alignment horizontal="left" vertical="center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0" xfId="2"/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14" fontId="0" fillId="0" borderId="0" xfId="0" applyNumberFormat="1"/>
    <xf numFmtId="0" fontId="4" fillId="0" borderId="0" xfId="0" applyFont="1"/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2" applyFont="1"/>
    <xf numFmtId="0" fontId="0" fillId="0" borderId="0" xfId="0"/>
    <xf numFmtId="166" fontId="0" fillId="0" borderId="0" xfId="0" applyNumberFormat="1"/>
    <xf numFmtId="0" fontId="7" fillId="3" borderId="0" xfId="0" applyFont="1" applyFill="1"/>
    <xf numFmtId="0" fontId="4" fillId="3" borderId="0" xfId="0" applyFont="1" applyFill="1"/>
    <xf numFmtId="14" fontId="3" fillId="0" borderId="0" xfId="0" applyNumberFormat="1" applyFont="1"/>
    <xf numFmtId="49" fontId="0" fillId="0" borderId="0" xfId="0" applyNumberFormat="1"/>
    <xf numFmtId="0" fontId="12" fillId="0" borderId="0" xfId="0" applyFont="1"/>
    <xf numFmtId="14" fontId="10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0" fontId="0" fillId="0" borderId="0" xfId="0" applyFont="1"/>
    <xf numFmtId="14" fontId="0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0" borderId="0" xfId="0" applyAlignment="1">
      <alignment vertical="top"/>
    </xf>
    <xf numFmtId="1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1" fontId="10" fillId="0" borderId="0" xfId="1" applyNumberFormat="1" applyFont="1"/>
    <xf numFmtId="0" fontId="14" fillId="0" borderId="0" xfId="0" applyFont="1"/>
    <xf numFmtId="0" fontId="14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14" fontId="7" fillId="3" borderId="0" xfId="0" applyNumberFormat="1" applyFont="1" applyFill="1"/>
    <xf numFmtId="0" fontId="3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3" fillId="0" borderId="0" xfId="2" applyFon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2" fillId="0" borderId="0" xfId="2" applyFont="1"/>
    <xf numFmtId="164" fontId="0" fillId="0" borderId="0" xfId="0" applyNumberFormat="1" applyFont="1" applyAlignment="1">
      <alignment horizontal="right"/>
    </xf>
    <xf numFmtId="0" fontId="2" fillId="0" borderId="0" xfId="2" applyFill="1"/>
    <xf numFmtId="0" fontId="17" fillId="3" borderId="0" xfId="0" applyFont="1" applyFill="1"/>
    <xf numFmtId="0" fontId="11" fillId="0" borderId="0" xfId="2" applyFont="1" applyAlignment="1">
      <alignment horizontal="left" vertical="center"/>
    </xf>
    <xf numFmtId="0" fontId="18" fillId="0" borderId="0" xfId="0" applyFont="1"/>
    <xf numFmtId="0" fontId="11" fillId="0" borderId="0" xfId="2" applyFont="1" applyAlignment="1">
      <alignment wrapText="1"/>
    </xf>
    <xf numFmtId="0" fontId="19" fillId="0" borderId="0" xfId="0" applyFont="1"/>
    <xf numFmtId="0" fontId="10" fillId="0" borderId="0" xfId="0" applyFont="1" applyFill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/>
    <xf numFmtId="49" fontId="12" fillId="0" borderId="0" xfId="0" applyNumberFormat="1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20" fillId="0" borderId="0" xfId="0" applyFont="1" applyFill="1"/>
    <xf numFmtId="0" fontId="21" fillId="0" borderId="0" xfId="0" applyFont="1"/>
    <xf numFmtId="0" fontId="22" fillId="3" borderId="0" xfId="0" applyFont="1" applyFill="1"/>
    <xf numFmtId="1" fontId="10" fillId="0" borderId="0" xfId="1" applyNumberFormat="1" applyFont="1" applyAlignment="1">
      <alignment horizontal="right"/>
    </xf>
    <xf numFmtId="1" fontId="10" fillId="0" borderId="0" xfId="0" applyNumberFormat="1" applyFont="1"/>
    <xf numFmtId="1" fontId="12" fillId="0" borderId="0" xfId="0" applyNumberFormat="1" applyFont="1"/>
    <xf numFmtId="0" fontId="20" fillId="0" borderId="0" xfId="0" applyFont="1"/>
    <xf numFmtId="0" fontId="10" fillId="2" borderId="0" xfId="0" applyFont="1" applyFill="1"/>
    <xf numFmtId="0" fontId="10" fillId="6" borderId="0" xfId="0" applyFont="1" applyFill="1"/>
    <xf numFmtId="0" fontId="10" fillId="5" borderId="0" xfId="0" applyFont="1" applyFill="1"/>
    <xf numFmtId="0" fontId="10" fillId="4" borderId="0" xfId="0" applyFont="1" applyFill="1"/>
    <xf numFmtId="1" fontId="10" fillId="0" borderId="0" xfId="1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4" fontId="10" fillId="0" borderId="0" xfId="0" applyNumberFormat="1" applyFont="1" applyFill="1"/>
    <xf numFmtId="1" fontId="10" fillId="0" borderId="0" xfId="0" applyNumberFormat="1" applyFont="1" applyFill="1"/>
    <xf numFmtId="0" fontId="10" fillId="7" borderId="0" xfId="0" applyFont="1" applyFill="1"/>
    <xf numFmtId="0" fontId="10" fillId="8" borderId="0" xfId="0" applyFont="1" applyFill="1"/>
    <xf numFmtId="0" fontId="23" fillId="0" borderId="0" xfId="0" applyFont="1"/>
    <xf numFmtId="0" fontId="10" fillId="3" borderId="0" xfId="0" applyFont="1" applyFill="1"/>
    <xf numFmtId="164" fontId="10" fillId="3" borderId="0" xfId="0" applyNumberFormat="1" applyFont="1" applyFill="1" applyAlignment="1">
      <alignment horizontal="right"/>
    </xf>
    <xf numFmtId="1" fontId="10" fillId="3" borderId="0" xfId="1" applyNumberFormat="1" applyFont="1" applyFill="1" applyAlignment="1">
      <alignment horizontal="left"/>
    </xf>
    <xf numFmtId="164" fontId="10" fillId="3" borderId="0" xfId="0" applyNumberFormat="1" applyFont="1" applyFill="1" applyAlignment="1">
      <alignment horizontal="left"/>
    </xf>
    <xf numFmtId="0" fontId="12" fillId="3" borderId="0" xfId="0" applyFont="1" applyFill="1"/>
    <xf numFmtId="14" fontId="10" fillId="3" borderId="0" xfId="0" applyNumberFormat="1" applyFont="1" applyFill="1"/>
    <xf numFmtId="1" fontId="12" fillId="3" borderId="0" xfId="0" applyNumberFormat="1" applyFont="1" applyFill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24" fillId="0" borderId="0" xfId="0" applyFont="1" applyAlignment="1">
      <alignment vertical="top" wrapText="1"/>
    </xf>
    <xf numFmtId="14" fontId="26" fillId="0" borderId="0" xfId="0" applyNumberFormat="1" applyFont="1"/>
    <xf numFmtId="0" fontId="25" fillId="0" borderId="0" xfId="0" applyFont="1"/>
    <xf numFmtId="0" fontId="27" fillId="0" borderId="0" xfId="0" applyFont="1"/>
    <xf numFmtId="0" fontId="28" fillId="0" borderId="0" xfId="0" applyFont="1"/>
    <xf numFmtId="0" fontId="10" fillId="0" borderId="0" xfId="2" applyFont="1"/>
    <xf numFmtId="0" fontId="29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gonia Herbert" id="{B801A1C6-1500-2447-A7FD-B14CA8D6F493}" userId="ef0d660117e278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46BB7-C927-384E-A543-B930A7F4DD1D}" name="Table1" displayName="Table1" ref="A1:D4" totalsRowShown="0" headerRowDxfId="1" tableBorderDxfId="0">
  <autoFilter ref="A1:D4" xr:uid="{A8C7635B-5F09-1847-A7DE-BC0C03BAE9FA}"/>
  <tableColumns count="4">
    <tableColumn id="1" xr3:uid="{D4CED152-CB8A-914A-B963-50A2F71DD05D}" name="ELIGIBILITY KEY:"/>
    <tableColumn id="2" xr3:uid="{8A171D82-C741-2F4C-963C-77A8BD904803}" name="PAI"/>
    <tableColumn id="3" xr3:uid="{42566F02-3BA4-4343-B878-C06AB2778716}" name="AI"/>
    <tableColumn id="4" xr3:uid="{28A4A26A-9CC1-334B-B1B5-0A0B1C90225B}" name="SP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19-09-06T20:22:28.43" personId="{B801A1C6-1500-2447-A7FD-B14CA8D6F493}" id="{C0F73575-5072-1E4A-89F4-1FFD63898030}">
    <text>total number of participants who are consented (regardless of fmri)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ag5535@psu.edu" TargetMode="External"/><Relationship Id="rId21" Type="http://schemas.openxmlformats.org/officeDocument/2006/relationships/hyperlink" Target="mailto:sleepsu7947@gmail.com" TargetMode="External"/><Relationship Id="rId42" Type="http://schemas.openxmlformats.org/officeDocument/2006/relationships/hyperlink" Target="mailto:racheldean21@gmail.com" TargetMode="External"/><Relationship Id="rId63" Type="http://schemas.openxmlformats.org/officeDocument/2006/relationships/hyperlink" Target="mailto:francismusaraca34@gmail.com" TargetMode="External"/><Relationship Id="rId84" Type="http://schemas.openxmlformats.org/officeDocument/2006/relationships/hyperlink" Target="mailto:ikm5070@psu.edu" TargetMode="External"/><Relationship Id="rId138" Type="http://schemas.openxmlformats.org/officeDocument/2006/relationships/hyperlink" Target="mailto:davidacker3@gmail.com" TargetMode="External"/><Relationship Id="rId159" Type="http://schemas.openxmlformats.org/officeDocument/2006/relationships/hyperlink" Target="mailto:jks5427@psu.edu" TargetMode="External"/><Relationship Id="rId170" Type="http://schemas.openxmlformats.org/officeDocument/2006/relationships/hyperlink" Target="mailto:aaw5303@psu.edu" TargetMode="External"/><Relationship Id="rId191" Type="http://schemas.openxmlformats.org/officeDocument/2006/relationships/hyperlink" Target="mailto:xxding95@gmail.com" TargetMode="External"/><Relationship Id="rId205" Type="http://schemas.openxmlformats.org/officeDocument/2006/relationships/hyperlink" Target="mailto:ced5436@psu.edu" TargetMode="External"/><Relationship Id="rId226" Type="http://schemas.openxmlformats.org/officeDocument/2006/relationships/hyperlink" Target="mailto:ams75273@huskies.bloomu.edu" TargetMode="External"/><Relationship Id="rId107" Type="http://schemas.openxmlformats.org/officeDocument/2006/relationships/hyperlink" Target="mailto:chas0421@gmail.com" TargetMode="External"/><Relationship Id="rId11" Type="http://schemas.openxmlformats.org/officeDocument/2006/relationships/hyperlink" Target="mailto:brooke.fosaaen@psu.edu" TargetMode="External"/><Relationship Id="rId32" Type="http://schemas.openxmlformats.org/officeDocument/2006/relationships/hyperlink" Target="mailto:MAS778@PITT.EDU" TargetMode="External"/><Relationship Id="rId53" Type="http://schemas.openxmlformats.org/officeDocument/2006/relationships/hyperlink" Target="mailto:tommysalerno.info@gmail.com" TargetMode="External"/><Relationship Id="rId74" Type="http://schemas.openxmlformats.org/officeDocument/2006/relationships/hyperlink" Target="mailto:iftutu12@gmail.com" TargetMode="External"/><Relationship Id="rId128" Type="http://schemas.openxmlformats.org/officeDocument/2006/relationships/hyperlink" Target="mailto:Gec5182@psu.edu" TargetMode="External"/><Relationship Id="rId149" Type="http://schemas.openxmlformats.org/officeDocument/2006/relationships/hyperlink" Target="mailto:scm5402@psu.edu" TargetMode="External"/><Relationship Id="rId5" Type="http://schemas.openxmlformats.org/officeDocument/2006/relationships/hyperlink" Target="mailto:mbaughman54@gmail.com" TargetMode="External"/><Relationship Id="rId95" Type="http://schemas.openxmlformats.org/officeDocument/2006/relationships/hyperlink" Target="mailto:Cbh5582@psu.edu" TargetMode="External"/><Relationship Id="rId160" Type="http://schemas.openxmlformats.org/officeDocument/2006/relationships/hyperlink" Target="mailto:aestarks@yahoo.com" TargetMode="External"/><Relationship Id="rId181" Type="http://schemas.openxmlformats.org/officeDocument/2006/relationships/hyperlink" Target="mailto:Hxb77@psu.edu" TargetMode="External"/><Relationship Id="rId216" Type="http://schemas.openxmlformats.org/officeDocument/2006/relationships/hyperlink" Target="mailto:jvy5366@psu.edu" TargetMode="External"/><Relationship Id="rId237" Type="http://schemas.openxmlformats.org/officeDocument/2006/relationships/hyperlink" Target="mailto:Cms7315@psu.edu" TargetMode="External"/><Relationship Id="rId22" Type="http://schemas.openxmlformats.org/officeDocument/2006/relationships/hyperlink" Target="mailto:lmw58@psu.edu" TargetMode="External"/><Relationship Id="rId43" Type="http://schemas.openxmlformats.org/officeDocument/2006/relationships/hyperlink" Target="mailto:Hamilton.Brittany@unionps.org" TargetMode="External"/><Relationship Id="rId64" Type="http://schemas.openxmlformats.org/officeDocument/2006/relationships/hyperlink" Target="mailto:vbg5066@psu.edu" TargetMode="External"/><Relationship Id="rId118" Type="http://schemas.openxmlformats.org/officeDocument/2006/relationships/hyperlink" Target="mailto:mja6074@psu.edu" TargetMode="External"/><Relationship Id="rId139" Type="http://schemas.openxmlformats.org/officeDocument/2006/relationships/hyperlink" Target="mailto:efl5048@psu.edu" TargetMode="External"/><Relationship Id="rId85" Type="http://schemas.openxmlformats.org/officeDocument/2006/relationships/hyperlink" Target="mailto:kylaisewell6@gmail.com" TargetMode="External"/><Relationship Id="rId150" Type="http://schemas.openxmlformats.org/officeDocument/2006/relationships/hyperlink" Target="mailto:zechmantricia@gmail.com" TargetMode="External"/><Relationship Id="rId171" Type="http://schemas.openxmlformats.org/officeDocument/2006/relationships/hyperlink" Target="mailto:Jonesam17@juniata.edu" TargetMode="External"/><Relationship Id="rId192" Type="http://schemas.openxmlformats.org/officeDocument/2006/relationships/hyperlink" Target="mailto:mrw5640@psu.edu" TargetMode="External"/><Relationship Id="rId206" Type="http://schemas.openxmlformats.org/officeDocument/2006/relationships/hyperlink" Target="mailto:aurora.k.nyman@gmail.com" TargetMode="External"/><Relationship Id="rId227" Type="http://schemas.openxmlformats.org/officeDocument/2006/relationships/hyperlink" Target="mailto:smriti.gupta94@gmail.com" TargetMode="External"/><Relationship Id="rId12" Type="http://schemas.openxmlformats.org/officeDocument/2006/relationships/hyperlink" Target="mailto:Rothsad13@juniata.edu" TargetMode="External"/><Relationship Id="rId33" Type="http://schemas.openxmlformats.org/officeDocument/2006/relationships/hyperlink" Target="mailto:lxperrin@gmail.com" TargetMode="External"/><Relationship Id="rId108" Type="http://schemas.openxmlformats.org/officeDocument/2006/relationships/hyperlink" Target="mailto:hmr5331@psu.edu" TargetMode="External"/><Relationship Id="rId129" Type="http://schemas.openxmlformats.org/officeDocument/2006/relationships/hyperlink" Target="mailto:dmw5942@psu.edu" TargetMode="External"/><Relationship Id="rId54" Type="http://schemas.openxmlformats.org/officeDocument/2006/relationships/hyperlink" Target="mailto:chaarvimodi@gmail.com" TargetMode="External"/><Relationship Id="rId75" Type="http://schemas.openxmlformats.org/officeDocument/2006/relationships/hyperlink" Target="mailto:cjcrable@gmail.com" TargetMode="External"/><Relationship Id="rId96" Type="http://schemas.openxmlformats.org/officeDocument/2006/relationships/hyperlink" Target="mailto:crodas1008@gmail.com" TargetMode="External"/><Relationship Id="rId140" Type="http://schemas.openxmlformats.org/officeDocument/2006/relationships/hyperlink" Target="mailto:lvk5211@psu.edu" TargetMode="External"/><Relationship Id="rId161" Type="http://schemas.openxmlformats.org/officeDocument/2006/relationships/hyperlink" Target="mailto:alaynanull16@gmail.com" TargetMode="External"/><Relationship Id="rId182" Type="http://schemas.openxmlformats.org/officeDocument/2006/relationships/hyperlink" Target="mailto:terranceblanton20@gmail.com" TargetMode="External"/><Relationship Id="rId217" Type="http://schemas.openxmlformats.org/officeDocument/2006/relationships/hyperlink" Target="mailto:lauraj4syth@gmail.com" TargetMode="External"/><Relationship Id="rId6" Type="http://schemas.openxmlformats.org/officeDocument/2006/relationships/hyperlink" Target="mailto:elebo97@yahoo.com" TargetMode="External"/><Relationship Id="rId238" Type="http://schemas.openxmlformats.org/officeDocument/2006/relationships/hyperlink" Target="mailto:Leah.youngquist@yale.ed" TargetMode="External"/><Relationship Id="rId23" Type="http://schemas.openxmlformats.org/officeDocument/2006/relationships/hyperlink" Target="mailto:cdl5209@psu.edu" TargetMode="External"/><Relationship Id="rId119" Type="http://schemas.openxmlformats.org/officeDocument/2006/relationships/hyperlink" Target="mailto:skr5403@psu.edu" TargetMode="External"/><Relationship Id="rId44" Type="http://schemas.openxmlformats.org/officeDocument/2006/relationships/hyperlink" Target="mailto:Erg_tx@hotmail.com" TargetMode="External"/><Relationship Id="rId65" Type="http://schemas.openxmlformats.org/officeDocument/2006/relationships/hyperlink" Target="mailto:Thealeddy@yahoo.com" TargetMode="External"/><Relationship Id="rId86" Type="http://schemas.openxmlformats.org/officeDocument/2006/relationships/hyperlink" Target="mailto:vmariani@psu.edu" TargetMode="External"/><Relationship Id="rId130" Type="http://schemas.openxmlformats.org/officeDocument/2006/relationships/hyperlink" Target="mailto:bcl5219@psu.edu" TargetMode="External"/><Relationship Id="rId151" Type="http://schemas.openxmlformats.org/officeDocument/2006/relationships/hyperlink" Target="mailto:bryce.t.17@gmail.com" TargetMode="External"/><Relationship Id="rId172" Type="http://schemas.openxmlformats.org/officeDocument/2006/relationships/hyperlink" Target="mailto:Rjd5430@psu.edu" TargetMode="External"/><Relationship Id="rId193" Type="http://schemas.openxmlformats.org/officeDocument/2006/relationships/hyperlink" Target="mailto:plh5158@psu.edu" TargetMode="External"/><Relationship Id="rId207" Type="http://schemas.openxmlformats.org/officeDocument/2006/relationships/hyperlink" Target="mailto:graciecain4@gmail.com" TargetMode="External"/><Relationship Id="rId228" Type="http://schemas.openxmlformats.org/officeDocument/2006/relationships/hyperlink" Target="mailto:aghaneyy19@gmail.com" TargetMode="External"/><Relationship Id="rId13" Type="http://schemas.openxmlformats.org/officeDocument/2006/relationships/hyperlink" Target="mailto:ryandaileydwyer@gmail.coM" TargetMode="External"/><Relationship Id="rId109" Type="http://schemas.openxmlformats.org/officeDocument/2006/relationships/hyperlink" Target="mailto:mab7193@psu.edu" TargetMode="External"/><Relationship Id="rId34" Type="http://schemas.openxmlformats.org/officeDocument/2006/relationships/hyperlink" Target="mailto:lhastings3383@comcast.net" TargetMode="External"/><Relationship Id="rId55" Type="http://schemas.openxmlformats.org/officeDocument/2006/relationships/hyperlink" Target="mailto:Cassielaine1259@gmail.com" TargetMode="External"/><Relationship Id="rId76" Type="http://schemas.openxmlformats.org/officeDocument/2006/relationships/hyperlink" Target="mailto:mqw5261@psu.edu" TargetMode="External"/><Relationship Id="rId97" Type="http://schemas.openxmlformats.org/officeDocument/2006/relationships/hyperlink" Target="mailto:ewk4@psu.edu" TargetMode="External"/><Relationship Id="rId120" Type="http://schemas.openxmlformats.org/officeDocument/2006/relationships/hyperlink" Target="mailto:Svv5191@psu.edu" TargetMode="External"/><Relationship Id="rId141" Type="http://schemas.openxmlformats.org/officeDocument/2006/relationships/hyperlink" Target="mailto:Mlehanzlik@gmail.com" TargetMode="External"/><Relationship Id="rId7" Type="http://schemas.openxmlformats.org/officeDocument/2006/relationships/hyperlink" Target="mailto:Ols1147@gmail.com" TargetMode="External"/><Relationship Id="rId162" Type="http://schemas.openxmlformats.org/officeDocument/2006/relationships/hyperlink" Target="mailto:Mcastles98@outlook.com" TargetMode="External"/><Relationship Id="rId183" Type="http://schemas.openxmlformats.org/officeDocument/2006/relationships/hyperlink" Target="mailto:etrevenen10@gmail.com" TargetMode="External"/><Relationship Id="rId218" Type="http://schemas.openxmlformats.org/officeDocument/2006/relationships/hyperlink" Target="mailto:sjh5752@psu.edu" TargetMode="External"/><Relationship Id="rId239" Type="http://schemas.openxmlformats.org/officeDocument/2006/relationships/hyperlink" Target="mailto:pqv5031@psu.edu" TargetMode="External"/><Relationship Id="rId24" Type="http://schemas.openxmlformats.org/officeDocument/2006/relationships/hyperlink" Target="mailto:bburgess22@icloud.com" TargetMode="External"/><Relationship Id="rId45" Type="http://schemas.openxmlformats.org/officeDocument/2006/relationships/hyperlink" Target="mailto:Lhixson@vols.utk.edu" TargetMode="External"/><Relationship Id="rId66" Type="http://schemas.openxmlformats.org/officeDocument/2006/relationships/hyperlink" Target="mailto:estefany.d.castillo@gmail.com" TargetMode="External"/><Relationship Id="rId87" Type="http://schemas.openxmlformats.org/officeDocument/2006/relationships/hyperlink" Target="mailto:wjm241@psu.edu" TargetMode="External"/><Relationship Id="rId110" Type="http://schemas.openxmlformats.org/officeDocument/2006/relationships/hyperlink" Target="mailto:gak5188@psu.edu" TargetMode="External"/><Relationship Id="rId131" Type="http://schemas.openxmlformats.org/officeDocument/2006/relationships/hyperlink" Target="mailto:clc6146@psu.edu" TargetMode="External"/><Relationship Id="rId152" Type="http://schemas.openxmlformats.org/officeDocument/2006/relationships/hyperlink" Target="mailto:jxg5641@psu.edu" TargetMode="External"/><Relationship Id="rId173" Type="http://schemas.openxmlformats.org/officeDocument/2006/relationships/hyperlink" Target="mailto:emb26@pct.edu" TargetMode="External"/><Relationship Id="rId194" Type="http://schemas.openxmlformats.org/officeDocument/2006/relationships/hyperlink" Target="mailto:seg5419@psu.edu" TargetMode="External"/><Relationship Id="rId208" Type="http://schemas.openxmlformats.org/officeDocument/2006/relationships/hyperlink" Target="mailto:Erj5094@psu.edu" TargetMode="External"/><Relationship Id="rId229" Type="http://schemas.openxmlformats.org/officeDocument/2006/relationships/hyperlink" Target="mailto:mgl5210@psu.edu" TargetMode="External"/><Relationship Id="rId240" Type="http://schemas.openxmlformats.org/officeDocument/2006/relationships/hyperlink" Target="mailto:zah5069@psu.edu" TargetMode="External"/><Relationship Id="rId14" Type="http://schemas.openxmlformats.org/officeDocument/2006/relationships/hyperlink" Target="mailto:lxr5226@psu.edu" TargetMode="External"/><Relationship Id="rId35" Type="http://schemas.openxmlformats.org/officeDocument/2006/relationships/hyperlink" Target="mailto:15haleyabrown@gmail.com" TargetMode="External"/><Relationship Id="rId56" Type="http://schemas.openxmlformats.org/officeDocument/2006/relationships/hyperlink" Target="mailto:rucinskikari2@gmail.com" TargetMode="External"/><Relationship Id="rId77" Type="http://schemas.openxmlformats.org/officeDocument/2006/relationships/hyperlink" Target="mailto:pmy5057@psu.edu" TargetMode="External"/><Relationship Id="rId100" Type="http://schemas.openxmlformats.org/officeDocument/2006/relationships/hyperlink" Target="mailto:aiden.s98@gmail.com" TargetMode="External"/><Relationship Id="rId8" Type="http://schemas.openxmlformats.org/officeDocument/2006/relationships/hyperlink" Target="mailto:zankoam@verizon.net" TargetMode="External"/><Relationship Id="rId98" Type="http://schemas.openxmlformats.org/officeDocument/2006/relationships/hyperlink" Target="mailto:vvo5027@psu.edu" TargetMode="External"/><Relationship Id="rId121" Type="http://schemas.openxmlformats.org/officeDocument/2006/relationships/hyperlink" Target="mailto:arp5625@psu.edu" TargetMode="External"/><Relationship Id="rId142" Type="http://schemas.openxmlformats.org/officeDocument/2006/relationships/hyperlink" Target="mailto:%09amc8062@psu.edu" TargetMode="External"/><Relationship Id="rId163" Type="http://schemas.openxmlformats.org/officeDocument/2006/relationships/hyperlink" Target="mailto:mzh687@psu.edu" TargetMode="External"/><Relationship Id="rId184" Type="http://schemas.openxmlformats.org/officeDocument/2006/relationships/hyperlink" Target="mailto:jde9@pct.edu" TargetMode="External"/><Relationship Id="rId219" Type="http://schemas.openxmlformats.org/officeDocument/2006/relationships/hyperlink" Target="mailto:ajr5809@psu.edu" TargetMode="External"/><Relationship Id="rId230" Type="http://schemas.openxmlformats.org/officeDocument/2006/relationships/hyperlink" Target="mailto:jmy5324@psu.edu" TargetMode="External"/><Relationship Id="rId25" Type="http://schemas.openxmlformats.org/officeDocument/2006/relationships/hyperlink" Target="mailto:Kte22@psu.edu" TargetMode="External"/><Relationship Id="rId46" Type="http://schemas.openxmlformats.org/officeDocument/2006/relationships/hyperlink" Target="mailto:Kenken36201@gmail.com" TargetMode="External"/><Relationship Id="rId67" Type="http://schemas.openxmlformats.org/officeDocument/2006/relationships/hyperlink" Target="mailto:mrl5442@psu.edu" TargetMode="External"/><Relationship Id="rId88" Type="http://schemas.openxmlformats.org/officeDocument/2006/relationships/hyperlink" Target="mailto:Tcd5156@psu.edu" TargetMode="External"/><Relationship Id="rId111" Type="http://schemas.openxmlformats.org/officeDocument/2006/relationships/hyperlink" Target="mailto:sga5080@psu.edu" TargetMode="External"/><Relationship Id="rId132" Type="http://schemas.openxmlformats.org/officeDocument/2006/relationships/hyperlink" Target="mailto:eds5327@psu.edu" TargetMode="External"/><Relationship Id="rId153" Type="http://schemas.openxmlformats.org/officeDocument/2006/relationships/hyperlink" Target="mailto:aek160@gmail.com" TargetMode="External"/><Relationship Id="rId174" Type="http://schemas.openxmlformats.org/officeDocument/2006/relationships/hyperlink" Target="mailto:Bnaculich@gmail.com" TargetMode="External"/><Relationship Id="rId195" Type="http://schemas.openxmlformats.org/officeDocument/2006/relationships/hyperlink" Target="mailto:tyh5094@psu.edu" TargetMode="External"/><Relationship Id="rId209" Type="http://schemas.openxmlformats.org/officeDocument/2006/relationships/hyperlink" Target="mailto:ald3891@gmail.com" TargetMode="External"/><Relationship Id="rId220" Type="http://schemas.openxmlformats.org/officeDocument/2006/relationships/hyperlink" Target="mailto:nar5235@psu.edu" TargetMode="External"/><Relationship Id="rId241" Type="http://schemas.openxmlformats.org/officeDocument/2006/relationships/hyperlink" Target="mailto:rhee.jennifer1@gmail.com" TargetMode="External"/><Relationship Id="rId15" Type="http://schemas.openxmlformats.org/officeDocument/2006/relationships/hyperlink" Target="mailto:wylie.sarahe@gmail.com" TargetMode="External"/><Relationship Id="rId36" Type="http://schemas.openxmlformats.org/officeDocument/2006/relationships/hyperlink" Target="mailto:akh5245@psu.edu" TargetMode="External"/><Relationship Id="rId57" Type="http://schemas.openxmlformats.org/officeDocument/2006/relationships/hyperlink" Target="mailto:jwkehler@gmail.com" TargetMode="External"/><Relationship Id="rId106" Type="http://schemas.openxmlformats.org/officeDocument/2006/relationships/hyperlink" Target="mailto:dpc5330@psu.edu" TargetMode="External"/><Relationship Id="rId127" Type="http://schemas.openxmlformats.org/officeDocument/2006/relationships/hyperlink" Target="mailto:eql5276@psu.edu" TargetMode="External"/><Relationship Id="rId10" Type="http://schemas.openxmlformats.org/officeDocument/2006/relationships/hyperlink" Target="mailto:Hannah.e.strouse@gmail.com" TargetMode="External"/><Relationship Id="rId31" Type="http://schemas.openxmlformats.org/officeDocument/2006/relationships/hyperlink" Target="mailto:ottmckenzie2001@gmail.com" TargetMode="External"/><Relationship Id="rId52" Type="http://schemas.openxmlformats.org/officeDocument/2006/relationships/hyperlink" Target="mailto:len56@psu.edu" TargetMode="External"/><Relationship Id="rId73" Type="http://schemas.openxmlformats.org/officeDocument/2006/relationships/hyperlink" Target="mailto:tjl5310@psu.edu" TargetMode="External"/><Relationship Id="rId78" Type="http://schemas.openxmlformats.org/officeDocument/2006/relationships/hyperlink" Target="mailto:Jzq5050@psu.edu" TargetMode="External"/><Relationship Id="rId94" Type="http://schemas.openxmlformats.org/officeDocument/2006/relationships/hyperlink" Target="mailto:vkt5039@psu.edu" TargetMode="External"/><Relationship Id="rId99" Type="http://schemas.openxmlformats.org/officeDocument/2006/relationships/hyperlink" Target="mailto:MAHEKOBERAI1@GMAIL.COM" TargetMode="External"/><Relationship Id="rId101" Type="http://schemas.openxmlformats.org/officeDocument/2006/relationships/hyperlink" Target="mailto:hqj2019@gmail.com" TargetMode="External"/><Relationship Id="rId122" Type="http://schemas.openxmlformats.org/officeDocument/2006/relationships/hyperlink" Target="mailto:rrl5166@psu.edu" TargetMode="External"/><Relationship Id="rId143" Type="http://schemas.openxmlformats.org/officeDocument/2006/relationships/hyperlink" Target="mailto:alaynanull16@gmail.com" TargetMode="External"/><Relationship Id="rId148" Type="http://schemas.openxmlformats.org/officeDocument/2006/relationships/hyperlink" Target="mailto:aestarks@yahoo.com" TargetMode="External"/><Relationship Id="rId164" Type="http://schemas.openxmlformats.org/officeDocument/2006/relationships/hyperlink" Target="mailto:legendlcox@zoho.com" TargetMode="External"/><Relationship Id="rId169" Type="http://schemas.openxmlformats.org/officeDocument/2006/relationships/hyperlink" Target="mailto:eal259@psu.edu" TargetMode="External"/><Relationship Id="rId185" Type="http://schemas.openxmlformats.org/officeDocument/2006/relationships/hyperlink" Target="mailto:evg5289@psu.edu" TargetMode="External"/><Relationship Id="rId4" Type="http://schemas.openxmlformats.org/officeDocument/2006/relationships/hyperlink" Target="mailto:jjd287@cornell.edu" TargetMode="External"/><Relationship Id="rId9" Type="http://schemas.openxmlformats.org/officeDocument/2006/relationships/hyperlink" Target="mailto:ems6051@psu.edu" TargetMode="External"/><Relationship Id="rId180" Type="http://schemas.openxmlformats.org/officeDocument/2006/relationships/hyperlink" Target="mailto:Tracklover77w@yahoo.com" TargetMode="External"/><Relationship Id="rId210" Type="http://schemas.openxmlformats.org/officeDocument/2006/relationships/hyperlink" Target="mailto:weaverraine@gmail.com" TargetMode="External"/><Relationship Id="rId215" Type="http://schemas.openxmlformats.org/officeDocument/2006/relationships/hyperlink" Target="mailto:neidigalyssa@yahoo.com" TargetMode="External"/><Relationship Id="rId236" Type="http://schemas.openxmlformats.org/officeDocument/2006/relationships/hyperlink" Target="mailto:Hannahnfingerhut@gmail.com" TargetMode="External"/><Relationship Id="rId26" Type="http://schemas.openxmlformats.org/officeDocument/2006/relationships/hyperlink" Target="mailto:anika.huynh@yahoo.com" TargetMode="External"/><Relationship Id="rId231" Type="http://schemas.openxmlformats.org/officeDocument/2006/relationships/hyperlink" Target="mailto:cassidy.lenox@yahoo.com" TargetMode="External"/><Relationship Id="rId47" Type="http://schemas.openxmlformats.org/officeDocument/2006/relationships/hyperlink" Target="mailto:AshleyWegner123@gmail.com" TargetMode="External"/><Relationship Id="rId68" Type="http://schemas.openxmlformats.org/officeDocument/2006/relationships/hyperlink" Target="mailto:sks68@psu.edu" TargetMode="External"/><Relationship Id="rId89" Type="http://schemas.openxmlformats.org/officeDocument/2006/relationships/hyperlink" Target="mailto:pjs5862@psu.edu" TargetMode="External"/><Relationship Id="rId112" Type="http://schemas.openxmlformats.org/officeDocument/2006/relationships/hyperlink" Target="mailto:amh678@psu.edu" TargetMode="External"/><Relationship Id="rId133" Type="http://schemas.openxmlformats.org/officeDocument/2006/relationships/hyperlink" Target="mailto:dxj5177@psu.edu" TargetMode="External"/><Relationship Id="rId154" Type="http://schemas.openxmlformats.org/officeDocument/2006/relationships/hyperlink" Target="mailto:mmm997@psu.edu" TargetMode="External"/><Relationship Id="rId175" Type="http://schemas.openxmlformats.org/officeDocument/2006/relationships/hyperlink" Target="mailto:sfa5385@psu.edu" TargetMode="External"/><Relationship Id="rId196" Type="http://schemas.openxmlformats.org/officeDocument/2006/relationships/hyperlink" Target="mailto:Kelsee.n.hern@gmail.com" TargetMode="External"/><Relationship Id="rId200" Type="http://schemas.openxmlformats.org/officeDocument/2006/relationships/hyperlink" Target="mailto:kxs574@psu.edu" TargetMode="External"/><Relationship Id="rId16" Type="http://schemas.openxmlformats.org/officeDocument/2006/relationships/hyperlink" Target="mailto:cel5364@psu.edu" TargetMode="External"/><Relationship Id="rId221" Type="http://schemas.openxmlformats.org/officeDocument/2006/relationships/hyperlink" Target="mailto:Burnss@susqu.edu" TargetMode="External"/><Relationship Id="rId242" Type="http://schemas.openxmlformats.org/officeDocument/2006/relationships/hyperlink" Target="mailto:Promi@psu.edu" TargetMode="External"/><Relationship Id="rId37" Type="http://schemas.openxmlformats.org/officeDocument/2006/relationships/hyperlink" Target="mailto:taylorclark.clark90@gmail.com" TargetMode="External"/><Relationship Id="rId58" Type="http://schemas.openxmlformats.org/officeDocument/2006/relationships/hyperlink" Target="mailto:crablekris@gmail.com" TargetMode="External"/><Relationship Id="rId79" Type="http://schemas.openxmlformats.org/officeDocument/2006/relationships/hyperlink" Target="mailto:jpw5939@psu.edu" TargetMode="External"/><Relationship Id="rId102" Type="http://schemas.openxmlformats.org/officeDocument/2006/relationships/hyperlink" Target="mailto:sun54@psu.edu" TargetMode="External"/><Relationship Id="rId123" Type="http://schemas.openxmlformats.org/officeDocument/2006/relationships/hyperlink" Target="mailto:mdg5403@psu.edu" TargetMode="External"/><Relationship Id="rId144" Type="http://schemas.openxmlformats.org/officeDocument/2006/relationships/hyperlink" Target="mailto:dgj5040@psu.edu" TargetMode="External"/><Relationship Id="rId90" Type="http://schemas.openxmlformats.org/officeDocument/2006/relationships/hyperlink" Target="mailto:awp15@psu.edu" TargetMode="External"/><Relationship Id="rId165" Type="http://schemas.openxmlformats.org/officeDocument/2006/relationships/hyperlink" Target="mailto:createcomplexbills@gmail.com" TargetMode="External"/><Relationship Id="rId186" Type="http://schemas.openxmlformats.org/officeDocument/2006/relationships/hyperlink" Target="mailto:Amcoke94@gmail.com" TargetMode="External"/><Relationship Id="rId211" Type="http://schemas.openxmlformats.org/officeDocument/2006/relationships/hyperlink" Target="mailto:rothrockm62@gmail.com" TargetMode="External"/><Relationship Id="rId232" Type="http://schemas.openxmlformats.org/officeDocument/2006/relationships/hyperlink" Target="mailto:Kao5316@psu.edu" TargetMode="External"/><Relationship Id="rId27" Type="http://schemas.openxmlformats.org/officeDocument/2006/relationships/hyperlink" Target="mailto:Bstro111@gmail.com" TargetMode="External"/><Relationship Id="rId48" Type="http://schemas.openxmlformats.org/officeDocument/2006/relationships/hyperlink" Target="mailto:Alfredocisneros@protonmail.com" TargetMode="External"/><Relationship Id="rId69" Type="http://schemas.openxmlformats.org/officeDocument/2006/relationships/hyperlink" Target="mailto:mfc5610@psu.edu" TargetMode="External"/><Relationship Id="rId113" Type="http://schemas.openxmlformats.org/officeDocument/2006/relationships/hyperlink" Target="mailto:sabrinairey@gmail.com" TargetMode="External"/><Relationship Id="rId134" Type="http://schemas.openxmlformats.org/officeDocument/2006/relationships/hyperlink" Target="mailto:aef5410@psu.edu" TargetMode="External"/><Relationship Id="rId80" Type="http://schemas.openxmlformats.org/officeDocument/2006/relationships/hyperlink" Target="mailto:mqh5862@psu.edu" TargetMode="External"/><Relationship Id="rId155" Type="http://schemas.openxmlformats.org/officeDocument/2006/relationships/hyperlink" Target="mailto:Exs5335@psu.edu" TargetMode="External"/><Relationship Id="rId176" Type="http://schemas.openxmlformats.org/officeDocument/2006/relationships/hyperlink" Target="mailto:odiesmith1999@gmail.com" TargetMode="External"/><Relationship Id="rId197" Type="http://schemas.openxmlformats.org/officeDocument/2006/relationships/hyperlink" Target="mailto:Stravis@bigspring.k12.pa.us" TargetMode="External"/><Relationship Id="rId201" Type="http://schemas.openxmlformats.org/officeDocument/2006/relationships/hyperlink" Target="mailto:Rjm6483@psu.edu" TargetMode="External"/><Relationship Id="rId222" Type="http://schemas.openxmlformats.org/officeDocument/2006/relationships/hyperlink" Target="mailto:tashi15196@gmail.com" TargetMode="External"/><Relationship Id="rId243" Type="http://schemas.openxmlformats.org/officeDocument/2006/relationships/hyperlink" Target="mailto:Alexa14953@yahoo.com" TargetMode="External"/><Relationship Id="rId17" Type="http://schemas.openxmlformats.org/officeDocument/2006/relationships/hyperlink" Target="mailto:kxs782@psu.edu" TargetMode="External"/><Relationship Id="rId38" Type="http://schemas.openxmlformats.org/officeDocument/2006/relationships/hyperlink" Target="mailto:ksnyder@fandm.edu" TargetMode="External"/><Relationship Id="rId59" Type="http://schemas.openxmlformats.org/officeDocument/2006/relationships/hyperlink" Target="mailto:stacycutlers@gmail.com" TargetMode="External"/><Relationship Id="rId103" Type="http://schemas.openxmlformats.org/officeDocument/2006/relationships/hyperlink" Target="mailto:chrisjfun28@gmail.com" TargetMode="External"/><Relationship Id="rId124" Type="http://schemas.openxmlformats.org/officeDocument/2006/relationships/hyperlink" Target="mailto:christiandshin@gmail.com" TargetMode="External"/><Relationship Id="rId70" Type="http://schemas.openxmlformats.org/officeDocument/2006/relationships/hyperlink" Target="mailto:jmw7066@psu.edu" TargetMode="External"/><Relationship Id="rId91" Type="http://schemas.openxmlformats.org/officeDocument/2006/relationships/hyperlink" Target="mailto:yahya.brr@gmail.com" TargetMode="External"/><Relationship Id="rId145" Type="http://schemas.openxmlformats.org/officeDocument/2006/relationships/hyperlink" Target="mailto:klr5771@psu.edu" TargetMode="External"/><Relationship Id="rId166" Type="http://schemas.openxmlformats.org/officeDocument/2006/relationships/hyperlink" Target="mailto:Amanda_amodeo@aol.com" TargetMode="External"/><Relationship Id="rId187" Type="http://schemas.openxmlformats.org/officeDocument/2006/relationships/hyperlink" Target="mailto:Nag5247@psu.edu" TargetMode="External"/><Relationship Id="rId1" Type="http://schemas.openxmlformats.org/officeDocument/2006/relationships/hyperlink" Target="mailto:bfh5164@psu.edu" TargetMode="External"/><Relationship Id="rId212" Type="http://schemas.openxmlformats.org/officeDocument/2006/relationships/hyperlink" Target="mailto:emma.houtz@gmail.com" TargetMode="External"/><Relationship Id="rId233" Type="http://schemas.openxmlformats.org/officeDocument/2006/relationships/hyperlink" Target="mailto:Alexiseverhart17@icloud.com" TargetMode="External"/><Relationship Id="rId28" Type="http://schemas.openxmlformats.org/officeDocument/2006/relationships/hyperlink" Target="mailto:Herren12370@yahoo.com" TargetMode="External"/><Relationship Id="rId49" Type="http://schemas.openxmlformats.org/officeDocument/2006/relationships/hyperlink" Target="mailto:mona0129k@gmail.com" TargetMode="External"/><Relationship Id="rId114" Type="http://schemas.openxmlformats.org/officeDocument/2006/relationships/hyperlink" Target="mailto:svl5926@psu.edu" TargetMode="External"/><Relationship Id="rId60" Type="http://schemas.openxmlformats.org/officeDocument/2006/relationships/hyperlink" Target="mailto:mqh5862@psu.edu" TargetMode="External"/><Relationship Id="rId81" Type="http://schemas.openxmlformats.org/officeDocument/2006/relationships/hyperlink" Target="mailto:mjm8091@psu.edu" TargetMode="External"/><Relationship Id="rId135" Type="http://schemas.openxmlformats.org/officeDocument/2006/relationships/hyperlink" Target="mailto:jbe5189@psu.edu" TargetMode="External"/><Relationship Id="rId156" Type="http://schemas.openxmlformats.org/officeDocument/2006/relationships/hyperlink" Target="mailto:avw5447@psu.edu" TargetMode="External"/><Relationship Id="rId177" Type="http://schemas.openxmlformats.org/officeDocument/2006/relationships/hyperlink" Target="mailto:ksc45@psu.edu" TargetMode="External"/><Relationship Id="rId198" Type="http://schemas.openxmlformats.org/officeDocument/2006/relationships/hyperlink" Target="mailto:Sarahlong127@gmail.com" TargetMode="External"/><Relationship Id="rId202" Type="http://schemas.openxmlformats.org/officeDocument/2006/relationships/hyperlink" Target="mailto:rma4711@lockhaven.edu" TargetMode="External"/><Relationship Id="rId223" Type="http://schemas.openxmlformats.org/officeDocument/2006/relationships/hyperlink" Target="mailto:jennasmeykal@gmail.com" TargetMode="External"/><Relationship Id="rId244" Type="http://schemas.openxmlformats.org/officeDocument/2006/relationships/printerSettings" Target="../printerSettings/printerSettings1.bin"/><Relationship Id="rId18" Type="http://schemas.openxmlformats.org/officeDocument/2006/relationships/hyperlink" Target="mailto:sgstanfo@buffalo.edu%3e" TargetMode="External"/><Relationship Id="rId39" Type="http://schemas.openxmlformats.org/officeDocument/2006/relationships/hyperlink" Target="mailto:hmeeker@gmail.com" TargetMode="External"/><Relationship Id="rId50" Type="http://schemas.openxmlformats.org/officeDocument/2006/relationships/hyperlink" Target="mailto:tiannariggsbee@gmail.com" TargetMode="External"/><Relationship Id="rId104" Type="http://schemas.openxmlformats.org/officeDocument/2006/relationships/hyperlink" Target="mailto:adragon945@hotmail.com" TargetMode="External"/><Relationship Id="rId125" Type="http://schemas.openxmlformats.org/officeDocument/2006/relationships/hyperlink" Target="mailto:rjb6220@psu.edu" TargetMode="External"/><Relationship Id="rId146" Type="http://schemas.openxmlformats.org/officeDocument/2006/relationships/hyperlink" Target="mailto:gbm5193@psu.edu" TargetMode="External"/><Relationship Id="rId167" Type="http://schemas.openxmlformats.org/officeDocument/2006/relationships/hyperlink" Target="mailto:isenbse@gmail.com" TargetMode="External"/><Relationship Id="rId188" Type="http://schemas.openxmlformats.org/officeDocument/2006/relationships/hyperlink" Target="mailto:ehj5039@psu.edu" TargetMode="External"/><Relationship Id="rId71" Type="http://schemas.openxmlformats.org/officeDocument/2006/relationships/hyperlink" Target="mailto:rfn5089@psu.edu" TargetMode="External"/><Relationship Id="rId92" Type="http://schemas.openxmlformats.org/officeDocument/2006/relationships/hyperlink" Target="mailto:jsa5304@psu.edu" TargetMode="External"/><Relationship Id="rId213" Type="http://schemas.openxmlformats.org/officeDocument/2006/relationships/hyperlink" Target="mailto:Bmh5494@psu.edu" TargetMode="External"/><Relationship Id="rId234" Type="http://schemas.openxmlformats.org/officeDocument/2006/relationships/hyperlink" Target="mailto:Jacquelinedlepore@gmail.com" TargetMode="External"/><Relationship Id="rId2" Type="http://schemas.openxmlformats.org/officeDocument/2006/relationships/hyperlink" Target="mailto:Stone.e.morgan@gmail.com" TargetMode="External"/><Relationship Id="rId29" Type="http://schemas.openxmlformats.org/officeDocument/2006/relationships/hyperlink" Target="mailto:jenna597@hotmail.com" TargetMode="External"/><Relationship Id="rId40" Type="http://schemas.openxmlformats.org/officeDocument/2006/relationships/hyperlink" Target="mailto:kev5131@psu.edu" TargetMode="External"/><Relationship Id="rId115" Type="http://schemas.openxmlformats.org/officeDocument/2006/relationships/hyperlink" Target="mailto:iqp5084@psu.edu" TargetMode="External"/><Relationship Id="rId136" Type="http://schemas.openxmlformats.org/officeDocument/2006/relationships/hyperlink" Target="mailto:dfk5095@psu.edu" TargetMode="External"/><Relationship Id="rId157" Type="http://schemas.openxmlformats.org/officeDocument/2006/relationships/hyperlink" Target="mailto:solimpo@pennstatehealth.psu.edu" TargetMode="External"/><Relationship Id="rId178" Type="http://schemas.openxmlformats.org/officeDocument/2006/relationships/hyperlink" Target="mailto:maddieporter310@gmail.com" TargetMode="External"/><Relationship Id="rId61" Type="http://schemas.openxmlformats.org/officeDocument/2006/relationships/hyperlink" Target="mailto:bridgetrosecuddy@gmail.com" TargetMode="External"/><Relationship Id="rId82" Type="http://schemas.openxmlformats.org/officeDocument/2006/relationships/hyperlink" Target="mailto:dtw5156@psu.edu" TargetMode="External"/><Relationship Id="rId199" Type="http://schemas.openxmlformats.org/officeDocument/2006/relationships/hyperlink" Target="mailto:lkeefer@live.esu.edu" TargetMode="External"/><Relationship Id="rId203" Type="http://schemas.openxmlformats.org/officeDocument/2006/relationships/hyperlink" Target="mailto:Hcf5048@psu.edu" TargetMode="External"/><Relationship Id="rId19" Type="http://schemas.openxmlformats.org/officeDocument/2006/relationships/hyperlink" Target="mailto:Ethanbkol2@gmail.com" TargetMode="External"/><Relationship Id="rId224" Type="http://schemas.openxmlformats.org/officeDocument/2006/relationships/hyperlink" Target="mailto:oprokunina@pennstatehealth.psu.edu" TargetMode="External"/><Relationship Id="rId30" Type="http://schemas.openxmlformats.org/officeDocument/2006/relationships/hyperlink" Target="mailto:millerkayla42@gmail.com" TargetMode="External"/><Relationship Id="rId105" Type="http://schemas.openxmlformats.org/officeDocument/2006/relationships/hyperlink" Target="mailto:stephmorgan147@gmail.com" TargetMode="External"/><Relationship Id="rId126" Type="http://schemas.openxmlformats.org/officeDocument/2006/relationships/hyperlink" Target="mailto:dcp5228@psu.edu" TargetMode="External"/><Relationship Id="rId147" Type="http://schemas.openxmlformats.org/officeDocument/2006/relationships/hyperlink" Target="mailto:mqc6137@psu.edu" TargetMode="External"/><Relationship Id="rId168" Type="http://schemas.openxmlformats.org/officeDocument/2006/relationships/hyperlink" Target="mailto:ret5239@psu.edu" TargetMode="External"/><Relationship Id="rId51" Type="http://schemas.openxmlformats.org/officeDocument/2006/relationships/hyperlink" Target="mailto:14cosgrovea@gmail.com" TargetMode="External"/><Relationship Id="rId72" Type="http://schemas.openxmlformats.org/officeDocument/2006/relationships/hyperlink" Target="mailto:mgh5816@psu.edu" TargetMode="External"/><Relationship Id="rId93" Type="http://schemas.openxmlformats.org/officeDocument/2006/relationships/hyperlink" Target="mailto:cbz5089@psu.edu" TargetMode="External"/><Relationship Id="rId189" Type="http://schemas.openxmlformats.org/officeDocument/2006/relationships/hyperlink" Target="mailto:skielar1@gmail.com" TargetMode="External"/><Relationship Id="rId3" Type="http://schemas.openxmlformats.org/officeDocument/2006/relationships/hyperlink" Target="mailto:cbs5493@psu.edu" TargetMode="External"/><Relationship Id="rId214" Type="http://schemas.openxmlformats.org/officeDocument/2006/relationships/hyperlink" Target="mailto:Albingaman98@gmail.com" TargetMode="External"/><Relationship Id="rId235" Type="http://schemas.openxmlformats.org/officeDocument/2006/relationships/hyperlink" Target="mailto:pom5255@psu.edu" TargetMode="External"/><Relationship Id="rId116" Type="http://schemas.openxmlformats.org/officeDocument/2006/relationships/hyperlink" Target="mailto:mrw5447@psu.edu" TargetMode="External"/><Relationship Id="rId137" Type="http://schemas.openxmlformats.org/officeDocument/2006/relationships/hyperlink" Target="mailto:sjt5446@psu.edu" TargetMode="External"/><Relationship Id="rId158" Type="http://schemas.openxmlformats.org/officeDocument/2006/relationships/hyperlink" Target="mailto:tnpeters99@gmail.com" TargetMode="External"/><Relationship Id="rId20" Type="http://schemas.openxmlformats.org/officeDocument/2006/relationships/hyperlink" Target="mailto:Austinpeiffer10818@gmail.com" TargetMode="External"/><Relationship Id="rId41" Type="http://schemas.openxmlformats.org/officeDocument/2006/relationships/hyperlink" Target="mailto:aie5097@psu.edu" TargetMode="External"/><Relationship Id="rId62" Type="http://schemas.openxmlformats.org/officeDocument/2006/relationships/hyperlink" Target="mailto:smv5473@psu.edU" TargetMode="External"/><Relationship Id="rId83" Type="http://schemas.openxmlformats.org/officeDocument/2006/relationships/hyperlink" Target="mailto:apw5356@psu.edu" TargetMode="External"/><Relationship Id="rId179" Type="http://schemas.openxmlformats.org/officeDocument/2006/relationships/hyperlink" Target="mailto:ohall1118@gmail.com" TargetMode="External"/><Relationship Id="rId190" Type="http://schemas.openxmlformats.org/officeDocument/2006/relationships/hyperlink" Target="mailto:courtneyholley14@gmail.com" TargetMode="External"/><Relationship Id="rId204" Type="http://schemas.openxmlformats.org/officeDocument/2006/relationships/hyperlink" Target="mailto:merandakeister@yahoo.com" TargetMode="External"/><Relationship Id="rId225" Type="http://schemas.openxmlformats.org/officeDocument/2006/relationships/hyperlink" Target="mailto:mbbilger8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ie5097@psu.edu" TargetMode="External"/><Relationship Id="rId13" Type="http://schemas.openxmlformats.org/officeDocument/2006/relationships/hyperlink" Target="mailto:vbg5066@psu.edu" TargetMode="External"/><Relationship Id="rId3" Type="http://schemas.openxmlformats.org/officeDocument/2006/relationships/hyperlink" Target="mailto:Hannah.e.strouse@gmail.com" TargetMode="External"/><Relationship Id="rId7" Type="http://schemas.openxmlformats.org/officeDocument/2006/relationships/hyperlink" Target="mailto:ksnyder@fandm.edu" TargetMode="External"/><Relationship Id="rId12" Type="http://schemas.openxmlformats.org/officeDocument/2006/relationships/hyperlink" Target="mailto:rfn5089@psu.edu" TargetMode="External"/><Relationship Id="rId17" Type="http://schemas.openxmlformats.org/officeDocument/2006/relationships/hyperlink" Target="mailto:apw5356@psu.edu" TargetMode="External"/><Relationship Id="rId2" Type="http://schemas.openxmlformats.org/officeDocument/2006/relationships/hyperlink" Target="mailto:zankoam@verizon.net" TargetMode="External"/><Relationship Id="rId16" Type="http://schemas.openxmlformats.org/officeDocument/2006/relationships/hyperlink" Target="mailto:ikm5070@psu.edu" TargetMode="External"/><Relationship Id="rId1" Type="http://schemas.openxmlformats.org/officeDocument/2006/relationships/hyperlink" Target="mailto:cbs5493@psu.edu" TargetMode="External"/><Relationship Id="rId6" Type="http://schemas.openxmlformats.org/officeDocument/2006/relationships/hyperlink" Target="mailto:15haleyabrown@gmail.com" TargetMode="External"/><Relationship Id="rId11" Type="http://schemas.openxmlformats.org/officeDocument/2006/relationships/hyperlink" Target="mailto:francismusaraca34@gmail.com" TargetMode="External"/><Relationship Id="rId5" Type="http://schemas.openxmlformats.org/officeDocument/2006/relationships/hyperlink" Target="mailto:lmw58@psu.edu" TargetMode="External"/><Relationship Id="rId15" Type="http://schemas.openxmlformats.org/officeDocument/2006/relationships/hyperlink" Target="mailto:Tcd5156@psu.edu" TargetMode="External"/><Relationship Id="rId10" Type="http://schemas.openxmlformats.org/officeDocument/2006/relationships/hyperlink" Target="mailto:kev5131@psu.edu" TargetMode="External"/><Relationship Id="rId4" Type="http://schemas.openxmlformats.org/officeDocument/2006/relationships/hyperlink" Target="mailto:Ethanbkol2@gmail.com" TargetMode="External"/><Relationship Id="rId9" Type="http://schemas.openxmlformats.org/officeDocument/2006/relationships/hyperlink" Target="mailto:tommysalerno.info@gmail.com" TargetMode="External"/><Relationship Id="rId14" Type="http://schemas.openxmlformats.org/officeDocument/2006/relationships/hyperlink" Target="mailto:kylaisewell6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cd5156@psu.edu" TargetMode="External"/><Relationship Id="rId18" Type="http://schemas.openxmlformats.org/officeDocument/2006/relationships/hyperlink" Target="mailto:christopherzhang88@gmail.com" TargetMode="External"/><Relationship Id="rId26" Type="http://schemas.openxmlformats.org/officeDocument/2006/relationships/hyperlink" Target="mailto:mja6074@psu.edu" TargetMode="External"/><Relationship Id="rId21" Type="http://schemas.openxmlformats.org/officeDocument/2006/relationships/hyperlink" Target="mailto:vkt5039@psu.edu" TargetMode="External"/><Relationship Id="rId34" Type="http://schemas.openxmlformats.org/officeDocument/2006/relationships/hyperlink" Target="mailto:avw5447@psu.edu" TargetMode="External"/><Relationship Id="rId7" Type="http://schemas.openxmlformats.org/officeDocument/2006/relationships/hyperlink" Target="mailto:ksnyder@fandm.edu" TargetMode="External"/><Relationship Id="rId12" Type="http://schemas.openxmlformats.org/officeDocument/2006/relationships/hyperlink" Target="mailto:vbg5066@psu.edu" TargetMode="External"/><Relationship Id="rId17" Type="http://schemas.openxmlformats.org/officeDocument/2006/relationships/hyperlink" Target="mailto:jsa5304@psu.edu" TargetMode="External"/><Relationship Id="rId25" Type="http://schemas.openxmlformats.org/officeDocument/2006/relationships/hyperlink" Target="mailto:arp5625@psu.edu" TargetMode="External"/><Relationship Id="rId33" Type="http://schemas.openxmlformats.org/officeDocument/2006/relationships/hyperlink" Target="mailto:cjcrable@gmail.com" TargetMode="External"/><Relationship Id="rId38" Type="http://schemas.openxmlformats.org/officeDocument/2006/relationships/hyperlink" Target="mailto:ems6051@psu.edu" TargetMode="External"/><Relationship Id="rId2" Type="http://schemas.openxmlformats.org/officeDocument/2006/relationships/hyperlink" Target="mailto:zankoam@verizon.net" TargetMode="External"/><Relationship Id="rId16" Type="http://schemas.openxmlformats.org/officeDocument/2006/relationships/hyperlink" Target="mailto:kylaisewell6@gmail.com" TargetMode="External"/><Relationship Id="rId20" Type="http://schemas.openxmlformats.org/officeDocument/2006/relationships/hyperlink" Target="mailto:cbz5089@psu.edu" TargetMode="External"/><Relationship Id="rId29" Type="http://schemas.openxmlformats.org/officeDocument/2006/relationships/hyperlink" Target="mailto:rjb6220@psu.edu" TargetMode="External"/><Relationship Id="rId1" Type="http://schemas.openxmlformats.org/officeDocument/2006/relationships/hyperlink" Target="mailto:cbs5493@psu.edu" TargetMode="External"/><Relationship Id="rId6" Type="http://schemas.openxmlformats.org/officeDocument/2006/relationships/hyperlink" Target="mailto:15haleyabrown@gmail.com" TargetMode="External"/><Relationship Id="rId11" Type="http://schemas.openxmlformats.org/officeDocument/2006/relationships/hyperlink" Target="mailto:rfn5089@psu.edu" TargetMode="External"/><Relationship Id="rId24" Type="http://schemas.openxmlformats.org/officeDocument/2006/relationships/hyperlink" Target="mailto:sun54@psu.edu" TargetMode="External"/><Relationship Id="rId32" Type="http://schemas.openxmlformats.org/officeDocument/2006/relationships/hyperlink" Target="mailto:dxj5177@psu.edu" TargetMode="External"/><Relationship Id="rId37" Type="http://schemas.openxmlformats.org/officeDocument/2006/relationships/hyperlink" Target="mailto:nar5235@psu.edu" TargetMode="External"/><Relationship Id="rId5" Type="http://schemas.openxmlformats.org/officeDocument/2006/relationships/hyperlink" Target="mailto:lmw58@psu.edu" TargetMode="External"/><Relationship Id="rId15" Type="http://schemas.openxmlformats.org/officeDocument/2006/relationships/hyperlink" Target="mailto:ikm5070@psu.edu" TargetMode="External"/><Relationship Id="rId23" Type="http://schemas.openxmlformats.org/officeDocument/2006/relationships/hyperlink" Target="mailto:amh678@psu.edu" TargetMode="External"/><Relationship Id="rId28" Type="http://schemas.openxmlformats.org/officeDocument/2006/relationships/hyperlink" Target="mailto:aiden.s98@gmail.com" TargetMode="External"/><Relationship Id="rId36" Type="http://schemas.openxmlformats.org/officeDocument/2006/relationships/hyperlink" Target="mailto:ajr5809@psu.edu" TargetMode="External"/><Relationship Id="rId10" Type="http://schemas.openxmlformats.org/officeDocument/2006/relationships/hyperlink" Target="mailto:kev5131@psu.edu" TargetMode="External"/><Relationship Id="rId19" Type="http://schemas.openxmlformats.org/officeDocument/2006/relationships/hyperlink" Target="mailto:sks68@psu.edu" TargetMode="External"/><Relationship Id="rId31" Type="http://schemas.openxmlformats.org/officeDocument/2006/relationships/hyperlink" Target="mailto:klr5771@psu.edu" TargetMode="External"/><Relationship Id="rId4" Type="http://schemas.openxmlformats.org/officeDocument/2006/relationships/hyperlink" Target="mailto:Ethanbkol2@gmail.com" TargetMode="External"/><Relationship Id="rId9" Type="http://schemas.openxmlformats.org/officeDocument/2006/relationships/hyperlink" Target="mailto:tommysalerno.info@gmail.com" TargetMode="External"/><Relationship Id="rId14" Type="http://schemas.openxmlformats.org/officeDocument/2006/relationships/hyperlink" Target="mailto:apw5356@psu.edu" TargetMode="External"/><Relationship Id="rId22" Type="http://schemas.openxmlformats.org/officeDocument/2006/relationships/hyperlink" Target="mailto:ewk4@psu.edu" TargetMode="External"/><Relationship Id="rId27" Type="http://schemas.openxmlformats.org/officeDocument/2006/relationships/hyperlink" Target="mailto:skr5403@psu.edu" TargetMode="External"/><Relationship Id="rId30" Type="http://schemas.openxmlformats.org/officeDocument/2006/relationships/hyperlink" Target="mailto:eds5327@psu.edu" TargetMode="External"/><Relationship Id="rId35" Type="http://schemas.openxmlformats.org/officeDocument/2006/relationships/hyperlink" Target="mailto:emb26@pct.edu" TargetMode="External"/><Relationship Id="rId8" Type="http://schemas.openxmlformats.org/officeDocument/2006/relationships/hyperlink" Target="mailto:aie5097@psu.edu" TargetMode="External"/><Relationship Id="rId3" Type="http://schemas.openxmlformats.org/officeDocument/2006/relationships/hyperlink" Target="mailto:Hannah.e.strouse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aw5303@psu.edu" TargetMode="External"/><Relationship Id="rId13" Type="http://schemas.openxmlformats.org/officeDocument/2006/relationships/hyperlink" Target="mailto:davidacker3@gmail.com" TargetMode="External"/><Relationship Id="rId18" Type="http://schemas.openxmlformats.org/officeDocument/2006/relationships/hyperlink" Target="mailto:smv5473@psu.edU" TargetMode="External"/><Relationship Id="rId3" Type="http://schemas.openxmlformats.org/officeDocument/2006/relationships/hyperlink" Target="mailto:mjm8091@psu.edu" TargetMode="External"/><Relationship Id="rId21" Type="http://schemas.openxmlformats.org/officeDocument/2006/relationships/hyperlink" Target="mailto:ajr5809@psu.edu" TargetMode="External"/><Relationship Id="rId7" Type="http://schemas.openxmlformats.org/officeDocument/2006/relationships/hyperlink" Target="mailto:ret5239@psu.edu" TargetMode="External"/><Relationship Id="rId12" Type="http://schemas.openxmlformats.org/officeDocument/2006/relationships/hyperlink" Target="mailto:scm5402@psu.edu" TargetMode="External"/><Relationship Id="rId17" Type="http://schemas.openxmlformats.org/officeDocument/2006/relationships/hyperlink" Target="mailto:14cosgrovea@gmail.com" TargetMode="External"/><Relationship Id="rId2" Type="http://schemas.openxmlformats.org/officeDocument/2006/relationships/hyperlink" Target="mailto:gak5188@psu.edu" TargetMode="External"/><Relationship Id="rId16" Type="http://schemas.openxmlformats.org/officeDocument/2006/relationships/hyperlink" Target="mailto:lxr5226@psu.edu" TargetMode="External"/><Relationship Id="rId20" Type="http://schemas.openxmlformats.org/officeDocument/2006/relationships/hyperlink" Target="mailto:mab7193@psu.edu" TargetMode="External"/><Relationship Id="rId1" Type="http://schemas.openxmlformats.org/officeDocument/2006/relationships/hyperlink" Target="mailto:clc6146@psu.edu" TargetMode="External"/><Relationship Id="rId6" Type="http://schemas.openxmlformats.org/officeDocument/2006/relationships/hyperlink" Target="mailto:solimpo@pennstatehealth.psu.edu" TargetMode="External"/><Relationship Id="rId11" Type="http://schemas.openxmlformats.org/officeDocument/2006/relationships/hyperlink" Target="mailto:seg5419@psu.edu" TargetMode="External"/><Relationship Id="rId5" Type="http://schemas.openxmlformats.org/officeDocument/2006/relationships/hyperlink" Target="mailto:svl5926@psu.edu" TargetMode="External"/><Relationship Id="rId15" Type="http://schemas.openxmlformats.org/officeDocument/2006/relationships/hyperlink" Target="mailto:francismusaraca34@gmail.com" TargetMode="External"/><Relationship Id="rId10" Type="http://schemas.openxmlformats.org/officeDocument/2006/relationships/hyperlink" Target="mailto:jvy5366@psu.edu" TargetMode="External"/><Relationship Id="rId19" Type="http://schemas.openxmlformats.org/officeDocument/2006/relationships/hyperlink" Target="mailto:tjl5310@psu.edu" TargetMode="External"/><Relationship Id="rId4" Type="http://schemas.openxmlformats.org/officeDocument/2006/relationships/hyperlink" Target="mailto:iqp5084@psu.edu" TargetMode="External"/><Relationship Id="rId9" Type="http://schemas.openxmlformats.org/officeDocument/2006/relationships/hyperlink" Target="mailto:ksc45@psu.edu" TargetMode="External"/><Relationship Id="rId14" Type="http://schemas.openxmlformats.org/officeDocument/2006/relationships/hyperlink" Target="mailto:jbe5189@psu.edu" TargetMode="External"/><Relationship Id="rId22" Type="http://schemas.openxmlformats.org/officeDocument/2006/relationships/hyperlink" Target="mailto:Jacquelinedlepor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lh6341@psu.ed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2B1F-8144-C344-A9F2-6AF59D5FB209}">
  <dimension ref="A1:AH292"/>
  <sheetViews>
    <sheetView tabSelected="1" zoomScale="110" zoomScaleNormal="100" workbookViewId="0">
      <pane ySplit="1" topLeftCell="A207" activePane="bottomLeft" state="frozen"/>
      <selection pane="bottomLeft" activeCell="J270" sqref="J270"/>
    </sheetView>
  </sheetViews>
  <sheetFormatPr baseColWidth="10" defaultColWidth="10.83203125" defaultRowHeight="16"/>
  <cols>
    <col min="1" max="1" width="35.1640625" style="20" customWidth="1"/>
    <col min="2" max="3" width="18.83203125" style="20" customWidth="1"/>
    <col min="4" max="4" width="24" style="20" customWidth="1"/>
    <col min="5" max="5" width="16" style="65" customWidth="1"/>
    <col min="6" max="6" width="6.83203125" style="77" customWidth="1"/>
    <col min="7" max="7" width="7.5" style="65" customWidth="1"/>
    <col min="8" max="8" width="11.1640625" style="20" hidden="1" customWidth="1"/>
    <col min="9" max="9" width="12.5" style="20" hidden="1" customWidth="1"/>
    <col min="10" max="11" width="21.83203125" style="20" customWidth="1"/>
    <col min="12" max="12" width="18.33203125" style="20" customWidth="1"/>
    <col min="13" max="13" width="21.33203125" style="20" customWidth="1"/>
    <col min="14" max="14" width="21.83203125" style="29" customWidth="1"/>
    <col min="15" max="15" width="27.1640625" style="29" customWidth="1"/>
    <col min="16" max="16" width="23.1640625" style="29" customWidth="1"/>
    <col min="17" max="17" width="12.1640625" style="20" customWidth="1"/>
    <col min="18" max="18" width="19.1640625" style="78" customWidth="1"/>
    <col min="19" max="19" width="12.83203125" style="78" hidden="1" customWidth="1"/>
    <col min="20" max="20" width="14.5" style="20" customWidth="1"/>
    <col min="21" max="21" width="19.5" style="20" customWidth="1"/>
    <col min="22" max="22" width="7.5" style="20" customWidth="1"/>
    <col min="23" max="23" width="24.83203125" style="20" bestFit="1" customWidth="1"/>
    <col min="24" max="29" width="30.33203125" style="20" customWidth="1"/>
    <col min="30" max="30" width="21.33203125" style="20" customWidth="1"/>
    <col min="31" max="31" width="19.33203125" style="20" bestFit="1" customWidth="1"/>
    <col min="32" max="32" width="19.5" style="20" customWidth="1"/>
    <col min="33" max="33" width="21.33203125" style="20" customWidth="1"/>
    <col min="34" max="34" width="26.5" style="20" customWidth="1"/>
    <col min="35" max="16384" width="10.83203125" style="20"/>
  </cols>
  <sheetData>
    <row r="1" spans="1:34">
      <c r="A1" s="20" t="s">
        <v>0</v>
      </c>
      <c r="B1" s="92" t="s">
        <v>1</v>
      </c>
      <c r="C1" s="92" t="s">
        <v>2</v>
      </c>
      <c r="D1" s="92" t="s">
        <v>3</v>
      </c>
      <c r="E1" s="93" t="s">
        <v>4</v>
      </c>
      <c r="F1" s="94" t="s">
        <v>5</v>
      </c>
      <c r="G1" s="95" t="s">
        <v>6</v>
      </c>
      <c r="H1" s="96" t="s">
        <v>7</v>
      </c>
      <c r="I1" s="96" t="s">
        <v>8</v>
      </c>
      <c r="J1" s="92" t="s">
        <v>9</v>
      </c>
      <c r="K1" s="92" t="s">
        <v>10</v>
      </c>
      <c r="L1" s="92" t="s">
        <v>11</v>
      </c>
      <c r="M1" s="20" t="s">
        <v>12</v>
      </c>
      <c r="N1" s="97" t="s">
        <v>13</v>
      </c>
      <c r="O1" s="97" t="s">
        <v>14</v>
      </c>
      <c r="P1" s="29" t="s">
        <v>15</v>
      </c>
      <c r="Q1" s="96" t="s">
        <v>16</v>
      </c>
      <c r="R1" s="98" t="s">
        <v>17</v>
      </c>
      <c r="S1" s="98" t="s">
        <v>18</v>
      </c>
      <c r="T1" s="96" t="s">
        <v>19</v>
      </c>
      <c r="U1" s="92" t="s">
        <v>20</v>
      </c>
      <c r="V1" s="96" t="s">
        <v>21</v>
      </c>
      <c r="W1" s="92" t="s">
        <v>22</v>
      </c>
      <c r="X1" s="92" t="s">
        <v>23</v>
      </c>
      <c r="Y1" s="92" t="s">
        <v>24</v>
      </c>
      <c r="Z1" s="92" t="s">
        <v>25</v>
      </c>
      <c r="AA1" s="92" t="s">
        <v>26</v>
      </c>
      <c r="AB1" s="92" t="s">
        <v>27</v>
      </c>
      <c r="AC1" s="92" t="s">
        <v>28</v>
      </c>
      <c r="AD1" s="20" t="s">
        <v>29</v>
      </c>
      <c r="AE1" s="28" t="s">
        <v>30</v>
      </c>
      <c r="AF1" s="28" t="s">
        <v>31</v>
      </c>
      <c r="AG1" s="20" t="s">
        <v>12</v>
      </c>
      <c r="AH1" s="20" t="s">
        <v>32</v>
      </c>
    </row>
    <row r="2" spans="1:34">
      <c r="A2" s="20" t="s">
        <v>33</v>
      </c>
      <c r="B2" s="20" t="s">
        <v>34</v>
      </c>
      <c r="C2" s="20" t="s">
        <v>35</v>
      </c>
      <c r="D2" s="21" t="s">
        <v>36</v>
      </c>
      <c r="E2" s="65">
        <v>7328560626</v>
      </c>
      <c r="F2" s="77">
        <v>24</v>
      </c>
      <c r="G2" s="65" t="s">
        <v>37</v>
      </c>
      <c r="H2" s="20" t="s">
        <v>38</v>
      </c>
      <c r="I2" s="20" t="s">
        <v>39</v>
      </c>
      <c r="J2" s="20" t="s">
        <v>40</v>
      </c>
      <c r="L2" s="20" t="s">
        <v>41</v>
      </c>
      <c r="N2" s="29">
        <v>43672</v>
      </c>
      <c r="O2" s="29">
        <v>43673</v>
      </c>
      <c r="P2" s="29" t="str">
        <f t="shared" ref="P2:P33" si="0">IF(O2&lt;&gt;"","Y","N")</f>
        <v>Y</v>
      </c>
      <c r="Q2" s="20">
        <v>29</v>
      </c>
      <c r="R2" s="78">
        <v>6</v>
      </c>
      <c r="S2" s="78">
        <v>3</v>
      </c>
      <c r="T2" s="20">
        <v>7</v>
      </c>
      <c r="U2" s="20" t="s">
        <v>42</v>
      </c>
      <c r="V2" s="20" t="s">
        <v>43</v>
      </c>
      <c r="Y2" s="29">
        <v>43683</v>
      </c>
      <c r="Z2" s="29">
        <v>43699</v>
      </c>
      <c r="AD2" s="20" t="str">
        <f t="shared" ref="AD2:AD12" si="1">IF(Y2&lt;&gt;"","Y","N")</f>
        <v>Y</v>
      </c>
      <c r="AE2" s="28" t="str">
        <f>IF(AG2&lt;&gt;"","Y","N")</f>
        <v>N</v>
      </c>
      <c r="AF2" s="28">
        <f t="shared" ref="AF2:AF33" ca="1" si="2">COUNTIF(Y2,"&lt;"&amp;TODAY())</f>
        <v>1</v>
      </c>
    </row>
    <row r="3" spans="1:34">
      <c r="A3" s="20" t="s">
        <v>44</v>
      </c>
      <c r="B3" s="20" t="s">
        <v>45</v>
      </c>
      <c r="C3" s="20" t="s">
        <v>46</v>
      </c>
      <c r="D3" s="21" t="s">
        <v>47</v>
      </c>
      <c r="E3" s="65" t="s">
        <v>48</v>
      </c>
      <c r="F3" s="77">
        <v>19</v>
      </c>
      <c r="G3" s="65" t="s">
        <v>37</v>
      </c>
      <c r="H3" s="20" t="s">
        <v>38</v>
      </c>
      <c r="I3" s="20" t="s">
        <v>39</v>
      </c>
      <c r="J3" s="20" t="s">
        <v>49</v>
      </c>
      <c r="L3" s="20" t="s">
        <v>41</v>
      </c>
      <c r="N3" s="29">
        <v>43670</v>
      </c>
      <c r="O3" s="29">
        <v>43670</v>
      </c>
      <c r="P3" s="29" t="str">
        <f t="shared" si="0"/>
        <v>Y</v>
      </c>
      <c r="Q3" s="20">
        <v>46</v>
      </c>
      <c r="R3" s="78">
        <v>6</v>
      </c>
      <c r="S3" s="78">
        <v>11</v>
      </c>
      <c r="T3" s="20">
        <v>9</v>
      </c>
      <c r="U3" s="20" t="s">
        <v>42</v>
      </c>
      <c r="V3" s="20" t="s">
        <v>43</v>
      </c>
      <c r="W3" s="28"/>
      <c r="Y3" s="29">
        <v>43684</v>
      </c>
      <c r="AD3" s="20" t="str">
        <f t="shared" si="1"/>
        <v>Y</v>
      </c>
      <c r="AE3" s="28" t="str">
        <f>IF(AG3&lt;&gt;"","Y","N")</f>
        <v>N</v>
      </c>
      <c r="AF3" s="28">
        <f t="shared" ca="1" si="2"/>
        <v>1</v>
      </c>
    </row>
    <row r="4" spans="1:34">
      <c r="A4" s="20" t="s">
        <v>50</v>
      </c>
      <c r="B4" s="20" t="s">
        <v>51</v>
      </c>
      <c r="C4" s="20" t="s">
        <v>52</v>
      </c>
      <c r="D4" s="28" t="s">
        <v>53</v>
      </c>
      <c r="E4" s="65">
        <v>6073398123</v>
      </c>
      <c r="F4" s="77">
        <v>25</v>
      </c>
      <c r="G4" s="65" t="s">
        <v>37</v>
      </c>
      <c r="H4" s="20" t="s">
        <v>54</v>
      </c>
      <c r="J4" s="20" t="s">
        <v>49</v>
      </c>
      <c r="L4" s="20" t="s">
        <v>41</v>
      </c>
      <c r="N4" s="29">
        <v>43676</v>
      </c>
      <c r="O4" s="29">
        <v>43676</v>
      </c>
      <c r="P4" s="29" t="str">
        <f t="shared" si="0"/>
        <v>Y</v>
      </c>
      <c r="Q4" s="20">
        <v>28</v>
      </c>
      <c r="R4" s="78">
        <v>10</v>
      </c>
      <c r="T4" s="20">
        <v>7</v>
      </c>
      <c r="U4" s="20" t="s">
        <v>42</v>
      </c>
      <c r="V4" s="20" t="s">
        <v>43</v>
      </c>
      <c r="X4" s="20">
        <v>1</v>
      </c>
      <c r="Y4" s="29">
        <v>43704</v>
      </c>
      <c r="AD4" s="20" t="str">
        <f t="shared" si="1"/>
        <v>Y</v>
      </c>
      <c r="AE4" s="28" t="str">
        <f>IF(AG4&lt;&gt;"","Y","N")</f>
        <v>N</v>
      </c>
      <c r="AF4" s="28">
        <f t="shared" ca="1" si="2"/>
        <v>1</v>
      </c>
    </row>
    <row r="5" spans="1:34">
      <c r="A5" s="69" t="s">
        <v>55</v>
      </c>
      <c r="B5" s="69" t="s">
        <v>56</v>
      </c>
      <c r="C5" s="69" t="s">
        <v>57</v>
      </c>
      <c r="D5" s="60" t="s">
        <v>58</v>
      </c>
      <c r="E5" s="65">
        <v>3013106934</v>
      </c>
      <c r="F5" s="77">
        <v>21</v>
      </c>
      <c r="G5" s="65" t="s">
        <v>37</v>
      </c>
      <c r="H5" s="20" t="s">
        <v>38</v>
      </c>
      <c r="J5" s="20" t="s">
        <v>49</v>
      </c>
      <c r="L5" s="20" t="s">
        <v>41</v>
      </c>
      <c r="N5" s="29">
        <v>43671</v>
      </c>
      <c r="O5" s="29">
        <v>43672</v>
      </c>
      <c r="P5" s="29" t="str">
        <f t="shared" si="0"/>
        <v>Y</v>
      </c>
      <c r="Q5" s="20">
        <v>24</v>
      </c>
      <c r="R5" s="78">
        <v>8</v>
      </c>
      <c r="S5" s="78">
        <v>0</v>
      </c>
      <c r="T5" s="20">
        <v>9</v>
      </c>
      <c r="U5" s="20" t="s">
        <v>42</v>
      </c>
      <c r="V5" s="20" t="s">
        <v>43</v>
      </c>
      <c r="Y5" s="29">
        <v>43705</v>
      </c>
      <c r="AD5" s="20" t="str">
        <f t="shared" si="1"/>
        <v>Y</v>
      </c>
      <c r="AE5" s="28" t="str">
        <f>IF(AG5&lt;&gt;"","Y","N")</f>
        <v>N</v>
      </c>
      <c r="AF5" s="28">
        <f t="shared" ca="1" si="2"/>
        <v>1</v>
      </c>
    </row>
    <row r="6" spans="1:34">
      <c r="A6" s="20" t="s">
        <v>59</v>
      </c>
      <c r="B6" s="20" t="s">
        <v>60</v>
      </c>
      <c r="C6" s="20" t="s">
        <v>61</v>
      </c>
      <c r="D6" s="21" t="s">
        <v>62</v>
      </c>
      <c r="E6" s="65">
        <v>8143604025</v>
      </c>
      <c r="F6" s="77">
        <v>19</v>
      </c>
      <c r="G6" s="65" t="s">
        <v>63</v>
      </c>
      <c r="H6" s="20" t="s">
        <v>38</v>
      </c>
      <c r="J6" s="20" t="s">
        <v>64</v>
      </c>
      <c r="L6" s="20" t="s">
        <v>41</v>
      </c>
      <c r="N6" s="29">
        <v>43672</v>
      </c>
      <c r="O6" s="29">
        <v>43690</v>
      </c>
      <c r="P6" s="29" t="str">
        <f t="shared" si="0"/>
        <v>Y</v>
      </c>
      <c r="Q6" s="20">
        <v>37</v>
      </c>
      <c r="R6" s="78">
        <v>6</v>
      </c>
      <c r="T6" s="20">
        <v>9</v>
      </c>
      <c r="U6" s="20" t="s">
        <v>42</v>
      </c>
      <c r="V6" s="20" t="s">
        <v>43</v>
      </c>
      <c r="Y6" s="29">
        <v>43693</v>
      </c>
      <c r="AD6" s="20" t="str">
        <f t="shared" si="1"/>
        <v>Y</v>
      </c>
      <c r="AE6" s="28" t="str">
        <f>IF(AG6&lt;&gt;"","Y","N")</f>
        <v>N</v>
      </c>
      <c r="AF6" s="28">
        <f t="shared" ca="1" si="2"/>
        <v>1</v>
      </c>
      <c r="AH6" s="20" t="s">
        <v>65</v>
      </c>
    </row>
    <row r="7" spans="1:34">
      <c r="A7" s="20" t="str">
        <f>_xlfn.TEXTJOIN(" ",,B7,C7)</f>
        <v>Jack Smith</v>
      </c>
      <c r="B7" s="20" t="s">
        <v>66</v>
      </c>
      <c r="C7" s="20" t="s">
        <v>67</v>
      </c>
      <c r="D7" s="20" t="s">
        <v>68</v>
      </c>
      <c r="E7" s="65" t="s">
        <v>69</v>
      </c>
      <c r="F7" s="77">
        <v>19</v>
      </c>
      <c r="G7" s="65" t="s">
        <v>63</v>
      </c>
      <c r="H7" s="20" t="s">
        <v>70</v>
      </c>
      <c r="J7" s="20" t="s">
        <v>40</v>
      </c>
      <c r="L7" s="20" t="s">
        <v>41</v>
      </c>
      <c r="N7" s="29">
        <v>43682</v>
      </c>
      <c r="O7" s="29">
        <v>43682</v>
      </c>
      <c r="P7" s="29" t="str">
        <f t="shared" si="0"/>
        <v>Y</v>
      </c>
      <c r="Q7" s="20">
        <v>44</v>
      </c>
      <c r="R7" s="78">
        <v>13</v>
      </c>
      <c r="T7" s="20">
        <v>10</v>
      </c>
      <c r="U7" s="20" t="s">
        <v>42</v>
      </c>
      <c r="V7" s="20" t="s">
        <v>43</v>
      </c>
      <c r="Y7" s="29">
        <v>43706</v>
      </c>
      <c r="AD7" s="20" t="str">
        <f t="shared" si="1"/>
        <v>Y</v>
      </c>
      <c r="AF7" s="28">
        <f t="shared" ca="1" si="2"/>
        <v>1</v>
      </c>
    </row>
    <row r="8" spans="1:34">
      <c r="A8" s="20" t="str">
        <f>_xlfn.TEXTJOIN(" ",,B8,C8)</f>
        <v>Kyle Snyder</v>
      </c>
      <c r="B8" s="20" t="s">
        <v>71</v>
      </c>
      <c r="C8" s="20" t="s">
        <v>72</v>
      </c>
      <c r="D8" s="21" t="s">
        <v>73</v>
      </c>
      <c r="E8" s="65">
        <v>7173719399</v>
      </c>
      <c r="F8" s="77">
        <v>23</v>
      </c>
      <c r="G8" s="65" t="s">
        <v>63</v>
      </c>
      <c r="H8" s="20" t="s">
        <v>38</v>
      </c>
      <c r="J8" s="20" t="s">
        <v>64</v>
      </c>
      <c r="K8" s="20" t="s">
        <v>74</v>
      </c>
      <c r="L8" s="20" t="s">
        <v>41</v>
      </c>
      <c r="N8" s="29">
        <v>43686</v>
      </c>
      <c r="O8" s="29">
        <v>43686</v>
      </c>
      <c r="P8" s="29" t="str">
        <f t="shared" si="0"/>
        <v>Y</v>
      </c>
      <c r="Q8" s="20">
        <v>37</v>
      </c>
      <c r="R8" s="78">
        <v>7</v>
      </c>
      <c r="T8" s="20">
        <v>7</v>
      </c>
      <c r="U8" s="20" t="s">
        <v>42</v>
      </c>
      <c r="V8" s="20" t="s">
        <v>43</v>
      </c>
      <c r="Y8" s="29">
        <v>43692</v>
      </c>
      <c r="AD8" s="20" t="str">
        <f t="shared" si="1"/>
        <v>Y</v>
      </c>
      <c r="AF8" s="28">
        <f t="shared" ca="1" si="2"/>
        <v>1</v>
      </c>
    </row>
    <row r="9" spans="1:34">
      <c r="A9" s="20" t="str">
        <f>_xlfn.TEXTJOIN(" ",,B9,C9)</f>
        <v>Haley Brown</v>
      </c>
      <c r="B9" s="20" t="s">
        <v>75</v>
      </c>
      <c r="C9" s="20" t="s">
        <v>76</v>
      </c>
      <c r="D9" s="21" t="s">
        <v>77</v>
      </c>
      <c r="E9" s="65">
        <v>8148806916</v>
      </c>
      <c r="F9" s="77">
        <v>22</v>
      </c>
      <c r="G9" s="65" t="s">
        <v>37</v>
      </c>
      <c r="H9" s="20" t="s">
        <v>38</v>
      </c>
      <c r="J9" s="20" t="s">
        <v>40</v>
      </c>
      <c r="L9" s="20" t="s">
        <v>41</v>
      </c>
      <c r="N9" s="29">
        <v>43682</v>
      </c>
      <c r="O9" s="29">
        <v>43682</v>
      </c>
      <c r="P9" s="29" t="str">
        <f t="shared" si="0"/>
        <v>Y</v>
      </c>
      <c r="Q9" s="20">
        <v>36</v>
      </c>
      <c r="R9" s="78">
        <v>9</v>
      </c>
      <c r="T9" s="20">
        <v>12</v>
      </c>
      <c r="U9" s="20" t="s">
        <v>42</v>
      </c>
      <c r="V9" s="20" t="s">
        <v>43</v>
      </c>
      <c r="Y9" s="29">
        <v>43692</v>
      </c>
      <c r="AD9" s="20" t="str">
        <f t="shared" si="1"/>
        <v>Y</v>
      </c>
      <c r="AF9" s="28">
        <f t="shared" ca="1" si="2"/>
        <v>1</v>
      </c>
    </row>
    <row r="10" spans="1:34">
      <c r="A10" s="20" t="str">
        <f>_xlfn.TEXTJOIN(" ",,B10,C10)</f>
        <v>Jessica Roussey</v>
      </c>
      <c r="B10" s="20" t="s">
        <v>78</v>
      </c>
      <c r="C10" s="75" t="s">
        <v>79</v>
      </c>
      <c r="D10" s="61" t="s">
        <v>80</v>
      </c>
      <c r="E10" s="65">
        <v>8145538161</v>
      </c>
      <c r="F10" s="77">
        <v>25</v>
      </c>
      <c r="G10" s="65" t="s">
        <v>37</v>
      </c>
      <c r="H10" s="20" t="s">
        <v>38</v>
      </c>
      <c r="J10" s="20" t="s">
        <v>49</v>
      </c>
      <c r="L10" s="20" t="s">
        <v>41</v>
      </c>
      <c r="N10" s="29">
        <v>43684</v>
      </c>
      <c r="O10" s="29">
        <v>43684</v>
      </c>
      <c r="P10" s="29" t="str">
        <f t="shared" si="0"/>
        <v>Y</v>
      </c>
      <c r="Q10" s="20">
        <v>37</v>
      </c>
      <c r="R10" s="78">
        <v>13</v>
      </c>
      <c r="T10" s="20">
        <v>10</v>
      </c>
      <c r="U10" s="20" t="s">
        <v>42</v>
      </c>
      <c r="V10" s="20" t="s">
        <v>43</v>
      </c>
      <c r="Y10" s="29">
        <v>43699</v>
      </c>
      <c r="AD10" s="20" t="str">
        <f t="shared" si="1"/>
        <v>Y</v>
      </c>
      <c r="AF10" s="28">
        <f t="shared" ca="1" si="2"/>
        <v>1</v>
      </c>
    </row>
    <row r="11" spans="1:34">
      <c r="A11" s="20" t="str">
        <f>_xlfn.TEXTJOIN(" ",,B11,C11)</f>
        <v>Avery Everett</v>
      </c>
      <c r="B11" s="20" t="s">
        <v>81</v>
      </c>
      <c r="C11" s="20" t="s">
        <v>82</v>
      </c>
      <c r="D11" s="21" t="s">
        <v>83</v>
      </c>
      <c r="E11" s="66" t="s">
        <v>84</v>
      </c>
      <c r="F11" s="20">
        <v>25</v>
      </c>
      <c r="G11" s="20" t="s">
        <v>37</v>
      </c>
      <c r="H11" s="20" t="s">
        <v>70</v>
      </c>
      <c r="J11" s="20" t="s">
        <v>85</v>
      </c>
      <c r="L11" s="20" t="s">
        <v>41</v>
      </c>
      <c r="N11" s="29">
        <v>43689</v>
      </c>
      <c r="O11" s="29">
        <v>43689</v>
      </c>
      <c r="P11" s="29" t="str">
        <f t="shared" si="0"/>
        <v>Y</v>
      </c>
      <c r="Q11" s="20">
        <v>54</v>
      </c>
      <c r="R11" s="78">
        <v>12</v>
      </c>
      <c r="T11" s="20">
        <v>10</v>
      </c>
      <c r="U11" s="20" t="s">
        <v>42</v>
      </c>
      <c r="V11" s="20" t="s">
        <v>43</v>
      </c>
      <c r="Y11" s="29">
        <v>43696</v>
      </c>
      <c r="AD11" s="20" t="str">
        <f t="shared" si="1"/>
        <v>Y</v>
      </c>
      <c r="AF11" s="28">
        <f t="shared" ca="1" si="2"/>
        <v>1</v>
      </c>
    </row>
    <row r="12" spans="1:34">
      <c r="A12" s="20" t="s">
        <v>86</v>
      </c>
      <c r="B12" s="70" t="s">
        <v>87</v>
      </c>
      <c r="C12" s="20" t="s">
        <v>88</v>
      </c>
      <c r="D12" s="21" t="s">
        <v>89</v>
      </c>
      <c r="E12" s="65">
        <v>2676151897</v>
      </c>
      <c r="F12" s="77">
        <v>21</v>
      </c>
      <c r="G12" s="65" t="s">
        <v>37</v>
      </c>
      <c r="H12" s="20" t="s">
        <v>38</v>
      </c>
      <c r="J12" s="20" t="s">
        <v>40</v>
      </c>
      <c r="L12" s="20" t="s">
        <v>41</v>
      </c>
      <c r="N12" s="29">
        <v>43670</v>
      </c>
      <c r="O12" s="29">
        <v>43681</v>
      </c>
      <c r="P12" s="29" t="str">
        <f t="shared" si="0"/>
        <v>Y</v>
      </c>
      <c r="Q12" s="20">
        <v>23</v>
      </c>
      <c r="R12" s="78">
        <v>6</v>
      </c>
      <c r="T12" s="20">
        <v>7</v>
      </c>
      <c r="U12" s="20" t="s">
        <v>42</v>
      </c>
      <c r="V12" s="20" t="s">
        <v>43</v>
      </c>
      <c r="Y12" s="29">
        <v>43688</v>
      </c>
      <c r="AD12" s="20" t="str">
        <f t="shared" si="1"/>
        <v>Y</v>
      </c>
      <c r="AE12" s="28" t="str">
        <f>IF(AG12&lt;&gt;"","Y","N")</f>
        <v>N</v>
      </c>
      <c r="AF12" s="28">
        <f t="shared" ca="1" si="2"/>
        <v>1</v>
      </c>
    </row>
    <row r="13" spans="1:34">
      <c r="A13" s="70" t="s">
        <v>90</v>
      </c>
      <c r="B13" s="20" t="s">
        <v>91</v>
      </c>
      <c r="C13" s="20" t="s">
        <v>92</v>
      </c>
      <c r="D13" s="21" t="s">
        <v>93</v>
      </c>
      <c r="E13" s="65" t="s">
        <v>94</v>
      </c>
      <c r="F13" s="77">
        <v>22</v>
      </c>
      <c r="G13" s="65" t="s">
        <v>63</v>
      </c>
      <c r="H13" s="20" t="s">
        <v>38</v>
      </c>
      <c r="J13" s="20" t="s">
        <v>85</v>
      </c>
      <c r="L13" s="20" t="s">
        <v>41</v>
      </c>
      <c r="N13" s="29">
        <v>43691</v>
      </c>
      <c r="O13" s="29">
        <v>43691</v>
      </c>
      <c r="P13" s="29" t="str">
        <f t="shared" si="0"/>
        <v>Y</v>
      </c>
      <c r="Q13" s="20">
        <v>32</v>
      </c>
      <c r="R13" s="78">
        <v>10</v>
      </c>
      <c r="T13" s="20">
        <v>12</v>
      </c>
      <c r="U13" s="20" t="s">
        <v>42</v>
      </c>
      <c r="V13" s="20" t="s">
        <v>43</v>
      </c>
      <c r="Y13" s="29" t="s">
        <v>95</v>
      </c>
      <c r="AF13" s="28">
        <f t="shared" ca="1" si="2"/>
        <v>0</v>
      </c>
    </row>
    <row r="14" spans="1:34">
      <c r="A14" s="28" t="s">
        <v>96</v>
      </c>
      <c r="B14" s="71" t="s">
        <v>97</v>
      </c>
      <c r="C14" s="28" t="s">
        <v>98</v>
      </c>
      <c r="D14" s="21" t="s">
        <v>99</v>
      </c>
      <c r="H14" s="28"/>
      <c r="I14" s="28"/>
      <c r="J14" s="20" t="s">
        <v>40</v>
      </c>
      <c r="L14" s="20" t="s">
        <v>100</v>
      </c>
      <c r="M14" s="28" t="s">
        <v>101</v>
      </c>
      <c r="P14" s="29" t="str">
        <f t="shared" si="0"/>
        <v>N</v>
      </c>
      <c r="Q14" s="28"/>
      <c r="R14" s="79"/>
      <c r="S14" s="79"/>
      <c r="T14" s="28"/>
      <c r="U14" s="20" t="s">
        <v>102</v>
      </c>
      <c r="V14" s="28"/>
      <c r="W14" s="20">
        <v>8</v>
      </c>
      <c r="X14" s="20">
        <v>0</v>
      </c>
      <c r="AD14" s="20" t="str">
        <f t="shared" ref="AD14:AD45" si="3">IF(Y14&lt;&gt;"","Y","N")</f>
        <v>N</v>
      </c>
      <c r="AE14" s="28" t="str">
        <f t="shared" ref="AE14:AE33" si="4">IF(AG14&lt;&gt;"","Y","N")</f>
        <v>Y</v>
      </c>
      <c r="AF14" s="28">
        <f t="shared" ca="1" si="2"/>
        <v>0</v>
      </c>
      <c r="AG14" s="28" t="s">
        <v>101</v>
      </c>
    </row>
    <row r="15" spans="1:34">
      <c r="A15" s="20" t="s">
        <v>103</v>
      </c>
      <c r="B15" s="70" t="s">
        <v>104</v>
      </c>
      <c r="C15" s="20" t="s">
        <v>105</v>
      </c>
      <c r="D15" s="21" t="s">
        <v>106</v>
      </c>
      <c r="E15" s="65" t="s">
        <v>107</v>
      </c>
      <c r="F15" s="77">
        <v>22</v>
      </c>
      <c r="G15" s="65" t="s">
        <v>37</v>
      </c>
      <c r="H15" s="20" t="s">
        <v>54</v>
      </c>
      <c r="J15" s="20" t="s">
        <v>40</v>
      </c>
      <c r="L15" s="20" t="s">
        <v>41</v>
      </c>
      <c r="N15" s="29">
        <v>43670</v>
      </c>
      <c r="O15" s="29">
        <v>43670</v>
      </c>
      <c r="P15" s="29" t="str">
        <f t="shared" si="0"/>
        <v>Y</v>
      </c>
      <c r="Q15" s="20">
        <v>14</v>
      </c>
      <c r="R15" s="78">
        <v>5</v>
      </c>
      <c r="S15" s="78">
        <v>1</v>
      </c>
      <c r="T15" s="20">
        <v>3</v>
      </c>
      <c r="U15" s="20" t="s">
        <v>42</v>
      </c>
      <c r="V15" s="20" t="s">
        <v>534</v>
      </c>
      <c r="AD15" s="20" t="str">
        <f t="shared" si="3"/>
        <v>N</v>
      </c>
      <c r="AE15" s="28" t="str">
        <f t="shared" si="4"/>
        <v>N</v>
      </c>
      <c r="AF15" s="28">
        <f t="shared" ca="1" si="2"/>
        <v>0</v>
      </c>
    </row>
    <row r="16" spans="1:34">
      <c r="A16" s="20" t="s">
        <v>109</v>
      </c>
      <c r="B16" s="70" t="s">
        <v>110</v>
      </c>
      <c r="C16" s="20" t="s">
        <v>111</v>
      </c>
      <c r="D16" s="21" t="s">
        <v>112</v>
      </c>
      <c r="E16" s="65">
        <v>5635470125</v>
      </c>
      <c r="F16" s="77">
        <v>25</v>
      </c>
      <c r="G16" s="65" t="s">
        <v>37</v>
      </c>
      <c r="H16" s="20" t="s">
        <v>54</v>
      </c>
      <c r="J16" s="20" t="s">
        <v>40</v>
      </c>
      <c r="L16" s="20" t="s">
        <v>108</v>
      </c>
      <c r="N16" s="29">
        <v>43670</v>
      </c>
      <c r="O16" s="29">
        <v>43670</v>
      </c>
      <c r="P16" s="29" t="str">
        <f t="shared" si="0"/>
        <v>Y</v>
      </c>
      <c r="Q16" s="20">
        <v>17</v>
      </c>
      <c r="R16" s="78">
        <v>2</v>
      </c>
      <c r="S16" s="78">
        <v>3</v>
      </c>
      <c r="T16" s="20">
        <v>6</v>
      </c>
      <c r="U16" s="20" t="s">
        <v>102</v>
      </c>
      <c r="V16" s="20" t="s">
        <v>43</v>
      </c>
      <c r="W16" s="20">
        <v>1</v>
      </c>
      <c r="X16" s="20">
        <v>0</v>
      </c>
      <c r="AD16" s="20" t="str">
        <f t="shared" si="3"/>
        <v>N</v>
      </c>
      <c r="AE16" s="28" t="str">
        <f t="shared" si="4"/>
        <v>N</v>
      </c>
      <c r="AF16" s="28">
        <f t="shared" ca="1" si="2"/>
        <v>0</v>
      </c>
    </row>
    <row r="17" spans="1:33">
      <c r="A17" s="20" t="s">
        <v>113</v>
      </c>
      <c r="B17" s="70" t="s">
        <v>114</v>
      </c>
      <c r="C17" s="20" t="s">
        <v>115</v>
      </c>
      <c r="D17" s="21" t="s">
        <v>116</v>
      </c>
      <c r="E17" s="65">
        <v>8143860862</v>
      </c>
      <c r="F17" s="77">
        <v>24</v>
      </c>
      <c r="G17" s="65" t="s">
        <v>63</v>
      </c>
      <c r="H17" s="20" t="s">
        <v>54</v>
      </c>
      <c r="J17" s="20" t="s">
        <v>49</v>
      </c>
      <c r="L17" s="20" t="s">
        <v>108</v>
      </c>
      <c r="N17" s="29">
        <v>43671</v>
      </c>
      <c r="O17" s="29">
        <v>43671</v>
      </c>
      <c r="P17" s="29" t="str">
        <f t="shared" si="0"/>
        <v>Y</v>
      </c>
      <c r="Q17" s="20">
        <v>36</v>
      </c>
      <c r="R17" s="78">
        <v>7</v>
      </c>
      <c r="S17" s="78">
        <v>7</v>
      </c>
      <c r="T17" s="20">
        <v>10</v>
      </c>
      <c r="U17" s="20" t="s">
        <v>102</v>
      </c>
      <c r="V17" s="20" t="s">
        <v>43</v>
      </c>
      <c r="W17" s="28">
        <v>1</v>
      </c>
      <c r="X17" s="20">
        <v>0</v>
      </c>
      <c r="AD17" s="20" t="str">
        <f t="shared" si="3"/>
        <v>N</v>
      </c>
      <c r="AE17" s="28" t="str">
        <f t="shared" si="4"/>
        <v>N</v>
      </c>
      <c r="AF17" s="28">
        <f t="shared" ca="1" si="2"/>
        <v>0</v>
      </c>
    </row>
    <row r="18" spans="1:33">
      <c r="A18" s="20" t="s">
        <v>117</v>
      </c>
      <c r="B18" s="70" t="s">
        <v>34</v>
      </c>
      <c r="C18" s="20" t="s">
        <v>118</v>
      </c>
      <c r="D18" s="21" t="s">
        <v>119</v>
      </c>
      <c r="E18" s="65" t="s">
        <v>120</v>
      </c>
      <c r="F18" s="77">
        <v>23</v>
      </c>
      <c r="G18" s="65" t="s">
        <v>37</v>
      </c>
      <c r="H18" s="20" t="s">
        <v>54</v>
      </c>
      <c r="J18" s="20" t="s">
        <v>40</v>
      </c>
      <c r="L18" s="20" t="s">
        <v>41</v>
      </c>
      <c r="N18" s="29">
        <v>43671</v>
      </c>
      <c r="O18" s="29">
        <v>43671</v>
      </c>
      <c r="P18" s="29" t="str">
        <f t="shared" si="0"/>
        <v>Y</v>
      </c>
      <c r="Q18" s="20">
        <v>14</v>
      </c>
      <c r="R18" s="78">
        <v>4</v>
      </c>
      <c r="S18" s="78">
        <v>3</v>
      </c>
      <c r="T18" s="20">
        <v>3</v>
      </c>
      <c r="U18" s="20" t="s">
        <v>42</v>
      </c>
      <c r="V18" s="20" t="s">
        <v>43</v>
      </c>
      <c r="W18" s="20">
        <v>1</v>
      </c>
      <c r="X18" s="20">
        <v>0</v>
      </c>
      <c r="AD18" s="20" t="str">
        <f t="shared" si="3"/>
        <v>N</v>
      </c>
      <c r="AE18" s="28" t="str">
        <f t="shared" si="4"/>
        <v>N</v>
      </c>
      <c r="AF18" s="28">
        <f t="shared" ca="1" si="2"/>
        <v>0</v>
      </c>
    </row>
    <row r="19" spans="1:33">
      <c r="A19" s="20" t="s">
        <v>121</v>
      </c>
      <c r="B19" s="70" t="s">
        <v>122</v>
      </c>
      <c r="C19" s="20" t="s">
        <v>123</v>
      </c>
      <c r="D19" s="21" t="s">
        <v>124</v>
      </c>
      <c r="E19" s="65" t="s">
        <v>125</v>
      </c>
      <c r="F19" s="77">
        <v>21</v>
      </c>
      <c r="G19" s="65" t="s">
        <v>37</v>
      </c>
      <c r="H19" s="20" t="s">
        <v>54</v>
      </c>
      <c r="J19" s="20" t="s">
        <v>40</v>
      </c>
      <c r="L19" s="20" t="s">
        <v>108</v>
      </c>
      <c r="M19" s="20" t="s">
        <v>126</v>
      </c>
      <c r="N19" s="29">
        <v>43671</v>
      </c>
      <c r="O19" s="29">
        <v>43671</v>
      </c>
      <c r="P19" s="29" t="str">
        <f t="shared" si="0"/>
        <v>Y</v>
      </c>
      <c r="Q19" s="20">
        <v>20</v>
      </c>
      <c r="R19" s="78">
        <v>6</v>
      </c>
      <c r="S19" s="78">
        <v>3</v>
      </c>
      <c r="T19" s="20">
        <v>3</v>
      </c>
      <c r="U19" s="20" t="s">
        <v>102</v>
      </c>
      <c r="V19" s="20" t="s">
        <v>43</v>
      </c>
      <c r="W19" s="20">
        <v>1</v>
      </c>
      <c r="X19" s="20">
        <v>0</v>
      </c>
      <c r="AD19" s="20" t="str">
        <f t="shared" si="3"/>
        <v>N</v>
      </c>
      <c r="AE19" s="28" t="str">
        <f t="shared" si="4"/>
        <v>Y</v>
      </c>
      <c r="AF19" s="28">
        <f t="shared" ca="1" si="2"/>
        <v>0</v>
      </c>
      <c r="AG19" s="20" t="s">
        <v>126</v>
      </c>
    </row>
    <row r="20" spans="1:33">
      <c r="A20" s="20" t="s">
        <v>127</v>
      </c>
      <c r="B20" s="70" t="s">
        <v>128</v>
      </c>
      <c r="C20" s="20" t="s">
        <v>129</v>
      </c>
      <c r="D20" s="21" t="s">
        <v>130</v>
      </c>
      <c r="E20" s="65">
        <v>7166018408</v>
      </c>
      <c r="F20" s="77">
        <v>24</v>
      </c>
      <c r="G20" s="65" t="s">
        <v>37</v>
      </c>
      <c r="H20" s="20" t="s">
        <v>131</v>
      </c>
      <c r="J20" s="20" t="s">
        <v>85</v>
      </c>
      <c r="L20" s="20" t="s">
        <v>41</v>
      </c>
      <c r="N20" s="29">
        <v>43671</v>
      </c>
      <c r="O20" s="29">
        <v>43671</v>
      </c>
      <c r="P20" s="29" t="str">
        <f t="shared" si="0"/>
        <v>Y</v>
      </c>
      <c r="Q20" s="20">
        <v>7</v>
      </c>
      <c r="R20" s="78">
        <v>1</v>
      </c>
      <c r="S20" s="78">
        <v>0</v>
      </c>
      <c r="T20" s="20">
        <v>1</v>
      </c>
      <c r="U20" s="20" t="s">
        <v>42</v>
      </c>
      <c r="V20" s="20" t="s">
        <v>43</v>
      </c>
      <c r="AD20" s="20" t="str">
        <f t="shared" si="3"/>
        <v>N</v>
      </c>
      <c r="AE20" s="28" t="str">
        <f t="shared" si="4"/>
        <v>N</v>
      </c>
      <c r="AF20" s="28">
        <f t="shared" ca="1" si="2"/>
        <v>0</v>
      </c>
    </row>
    <row r="21" spans="1:33">
      <c r="A21" s="20" t="s">
        <v>132</v>
      </c>
      <c r="B21" s="70" t="s">
        <v>133</v>
      </c>
      <c r="C21" s="20" t="s">
        <v>134</v>
      </c>
      <c r="D21" s="21" t="s">
        <v>135</v>
      </c>
      <c r="E21" s="65" t="s">
        <v>120</v>
      </c>
      <c r="J21" s="20" t="s">
        <v>49</v>
      </c>
      <c r="L21" s="20" t="s">
        <v>136</v>
      </c>
      <c r="N21" s="29">
        <v>43670</v>
      </c>
      <c r="P21" s="29" t="str">
        <f t="shared" si="0"/>
        <v>N</v>
      </c>
      <c r="AD21" s="20" t="str">
        <f t="shared" si="3"/>
        <v>N</v>
      </c>
      <c r="AE21" s="28" t="str">
        <f t="shared" si="4"/>
        <v>N</v>
      </c>
      <c r="AF21" s="28">
        <f t="shared" ca="1" si="2"/>
        <v>0</v>
      </c>
    </row>
    <row r="22" spans="1:33">
      <c r="A22" s="20" t="s">
        <v>137</v>
      </c>
      <c r="B22" s="70" t="s">
        <v>104</v>
      </c>
      <c r="C22" s="20" t="s">
        <v>138</v>
      </c>
      <c r="D22" s="21" t="s">
        <v>139</v>
      </c>
      <c r="E22" s="65" t="s">
        <v>120</v>
      </c>
      <c r="J22" s="20" t="s">
        <v>49</v>
      </c>
      <c r="L22" s="20" t="s">
        <v>136</v>
      </c>
      <c r="N22" s="29">
        <v>43670</v>
      </c>
      <c r="P22" s="29" t="str">
        <f t="shared" si="0"/>
        <v>N</v>
      </c>
      <c r="AD22" s="20" t="str">
        <f t="shared" si="3"/>
        <v>N</v>
      </c>
      <c r="AE22" s="28" t="str">
        <f t="shared" si="4"/>
        <v>N</v>
      </c>
      <c r="AF22" s="28">
        <f t="shared" ca="1" si="2"/>
        <v>0</v>
      </c>
    </row>
    <row r="23" spans="1:33">
      <c r="A23" s="20" t="s">
        <v>140</v>
      </c>
      <c r="B23" s="70" t="s">
        <v>141</v>
      </c>
      <c r="C23" s="20" t="s">
        <v>142</v>
      </c>
      <c r="D23" s="21" t="s">
        <v>143</v>
      </c>
      <c r="E23" s="65" t="s">
        <v>120</v>
      </c>
      <c r="J23" s="20" t="s">
        <v>40</v>
      </c>
      <c r="L23" s="20" t="s">
        <v>136</v>
      </c>
      <c r="N23" s="29">
        <v>43670</v>
      </c>
      <c r="P23" s="29" t="str">
        <f t="shared" si="0"/>
        <v>N</v>
      </c>
      <c r="AD23" s="20" t="str">
        <f t="shared" si="3"/>
        <v>N</v>
      </c>
      <c r="AE23" s="28" t="str">
        <f t="shared" si="4"/>
        <v>N</v>
      </c>
      <c r="AF23" s="28">
        <f t="shared" ca="1" si="2"/>
        <v>0</v>
      </c>
    </row>
    <row r="24" spans="1:33">
      <c r="A24" s="69" t="s">
        <v>144</v>
      </c>
      <c r="B24" s="72" t="s">
        <v>145</v>
      </c>
      <c r="C24" s="69" t="s">
        <v>146</v>
      </c>
      <c r="D24" s="60" t="s">
        <v>147</v>
      </c>
      <c r="E24" s="65" t="s">
        <v>120</v>
      </c>
      <c r="J24" s="20" t="s">
        <v>40</v>
      </c>
      <c r="L24" s="20" t="s">
        <v>136</v>
      </c>
      <c r="N24" s="29">
        <v>43670</v>
      </c>
      <c r="P24" s="29" t="str">
        <f t="shared" si="0"/>
        <v>N</v>
      </c>
      <c r="AD24" s="20" t="str">
        <f t="shared" si="3"/>
        <v>N</v>
      </c>
      <c r="AE24" s="28" t="str">
        <f t="shared" si="4"/>
        <v>N</v>
      </c>
      <c r="AF24" s="28">
        <f t="shared" ca="1" si="2"/>
        <v>0</v>
      </c>
    </row>
    <row r="25" spans="1:33">
      <c r="A25" s="20" t="s">
        <v>148</v>
      </c>
      <c r="B25" s="70" t="s">
        <v>149</v>
      </c>
      <c r="C25" s="20" t="s">
        <v>150</v>
      </c>
      <c r="D25" s="21" t="s">
        <v>151</v>
      </c>
      <c r="E25" s="65" t="s">
        <v>120</v>
      </c>
      <c r="J25" s="20" t="s">
        <v>40</v>
      </c>
      <c r="L25" s="20" t="s">
        <v>136</v>
      </c>
      <c r="N25" s="29">
        <v>43670</v>
      </c>
      <c r="P25" s="29" t="str">
        <f t="shared" si="0"/>
        <v>N</v>
      </c>
      <c r="AD25" s="20" t="str">
        <f t="shared" si="3"/>
        <v>N</v>
      </c>
      <c r="AE25" s="28" t="str">
        <f t="shared" si="4"/>
        <v>N</v>
      </c>
      <c r="AF25" s="28">
        <f t="shared" ca="1" si="2"/>
        <v>0</v>
      </c>
    </row>
    <row r="26" spans="1:33">
      <c r="A26" s="69" t="s">
        <v>152</v>
      </c>
      <c r="B26" s="72" t="s">
        <v>153</v>
      </c>
      <c r="C26" s="69" t="s">
        <v>67</v>
      </c>
      <c r="D26" s="60" t="s">
        <v>154</v>
      </c>
      <c r="E26" s="65" t="s">
        <v>120</v>
      </c>
      <c r="J26" s="20" t="s">
        <v>49</v>
      </c>
      <c r="L26" s="20" t="s">
        <v>136</v>
      </c>
      <c r="N26" s="29">
        <v>43670</v>
      </c>
      <c r="P26" s="29" t="str">
        <f t="shared" si="0"/>
        <v>N</v>
      </c>
      <c r="AD26" s="20" t="str">
        <f t="shared" si="3"/>
        <v>N</v>
      </c>
      <c r="AE26" s="28" t="str">
        <f t="shared" si="4"/>
        <v>N</v>
      </c>
      <c r="AF26" s="28">
        <f t="shared" ca="1" si="2"/>
        <v>0</v>
      </c>
    </row>
    <row r="27" spans="1:33" ht="34">
      <c r="A27" s="20" t="s">
        <v>155</v>
      </c>
      <c r="B27" s="70" t="s">
        <v>156</v>
      </c>
      <c r="C27" s="20" t="s">
        <v>157</v>
      </c>
      <c r="D27" s="62" t="s">
        <v>158</v>
      </c>
      <c r="E27" s="65" t="s">
        <v>120</v>
      </c>
      <c r="J27" s="20" t="s">
        <v>49</v>
      </c>
      <c r="L27" s="20" t="s">
        <v>136</v>
      </c>
      <c r="N27" s="29">
        <v>43671</v>
      </c>
      <c r="P27" s="29" t="str">
        <f t="shared" si="0"/>
        <v>N</v>
      </c>
      <c r="W27" s="20">
        <v>1</v>
      </c>
      <c r="AD27" s="20" t="str">
        <f t="shared" si="3"/>
        <v>N</v>
      </c>
      <c r="AE27" s="28" t="str">
        <f t="shared" si="4"/>
        <v>N</v>
      </c>
      <c r="AF27" s="28">
        <f t="shared" ca="1" si="2"/>
        <v>0</v>
      </c>
    </row>
    <row r="28" spans="1:33">
      <c r="A28" s="20" t="s">
        <v>159</v>
      </c>
      <c r="B28" s="70" t="s">
        <v>128</v>
      </c>
      <c r="C28" s="20" t="s">
        <v>160</v>
      </c>
      <c r="D28" s="21" t="s">
        <v>161</v>
      </c>
      <c r="E28" s="65">
        <v>8142373315</v>
      </c>
      <c r="F28" s="77">
        <v>23</v>
      </c>
      <c r="G28" s="65" t="s">
        <v>37</v>
      </c>
      <c r="H28" s="20" t="s">
        <v>54</v>
      </c>
      <c r="J28" s="20" t="s">
        <v>40</v>
      </c>
      <c r="L28" s="20" t="s">
        <v>108</v>
      </c>
      <c r="N28" s="29">
        <v>43671</v>
      </c>
      <c r="O28" s="29">
        <v>43675</v>
      </c>
      <c r="P28" s="29" t="str">
        <f t="shared" si="0"/>
        <v>Y</v>
      </c>
      <c r="Q28" s="20">
        <v>35</v>
      </c>
      <c r="R28" s="78">
        <v>12</v>
      </c>
      <c r="S28" s="78">
        <v>5</v>
      </c>
      <c r="T28" s="20">
        <v>1</v>
      </c>
      <c r="U28" s="20" t="s">
        <v>102</v>
      </c>
      <c r="V28" s="20" t="s">
        <v>43</v>
      </c>
      <c r="W28" s="28">
        <v>1</v>
      </c>
      <c r="X28" s="20">
        <v>0</v>
      </c>
      <c r="AD28" s="20" t="str">
        <f t="shared" si="3"/>
        <v>N</v>
      </c>
      <c r="AE28" s="28" t="str">
        <f t="shared" si="4"/>
        <v>N</v>
      </c>
      <c r="AF28" s="28">
        <f t="shared" ca="1" si="2"/>
        <v>0</v>
      </c>
    </row>
    <row r="29" spans="1:33">
      <c r="A29" s="20" t="s">
        <v>162</v>
      </c>
      <c r="B29" s="70" t="s">
        <v>163</v>
      </c>
      <c r="C29" s="20" t="s">
        <v>67</v>
      </c>
      <c r="D29" s="21" t="s">
        <v>164</v>
      </c>
      <c r="E29" s="65" t="s">
        <v>120</v>
      </c>
      <c r="L29" s="20" t="s">
        <v>136</v>
      </c>
      <c r="M29" s="20" t="s">
        <v>165</v>
      </c>
      <c r="N29" s="29">
        <v>43671</v>
      </c>
      <c r="P29" s="29" t="str">
        <f t="shared" si="0"/>
        <v>N</v>
      </c>
      <c r="W29" s="20">
        <v>1</v>
      </c>
      <c r="AD29" s="20" t="str">
        <f t="shared" si="3"/>
        <v>N</v>
      </c>
      <c r="AE29" s="28" t="str">
        <f t="shared" si="4"/>
        <v>Y</v>
      </c>
      <c r="AF29" s="28">
        <f t="shared" ca="1" si="2"/>
        <v>0</v>
      </c>
      <c r="AG29" s="20" t="s">
        <v>165</v>
      </c>
    </row>
    <row r="30" spans="1:33">
      <c r="A30" s="20" t="s">
        <v>166</v>
      </c>
      <c r="B30" s="70" t="s">
        <v>167</v>
      </c>
      <c r="C30" s="20" t="s">
        <v>168</v>
      </c>
      <c r="D30" s="21" t="s">
        <v>169</v>
      </c>
      <c r="E30" s="65" t="s">
        <v>120</v>
      </c>
      <c r="J30" s="20" t="s">
        <v>49</v>
      </c>
      <c r="L30" s="20" t="s">
        <v>136</v>
      </c>
      <c r="N30" s="29">
        <v>43672</v>
      </c>
      <c r="P30" s="29" t="str">
        <f t="shared" si="0"/>
        <v>N</v>
      </c>
      <c r="AD30" s="20" t="str">
        <f t="shared" si="3"/>
        <v>N</v>
      </c>
      <c r="AE30" s="28" t="str">
        <f t="shared" si="4"/>
        <v>N</v>
      </c>
      <c r="AF30" s="28">
        <f t="shared" ca="1" si="2"/>
        <v>0</v>
      </c>
    </row>
    <row r="31" spans="1:33">
      <c r="A31" s="20" t="s">
        <v>170</v>
      </c>
      <c r="B31" s="70" t="s">
        <v>171</v>
      </c>
      <c r="C31" s="20" t="s">
        <v>172</v>
      </c>
      <c r="D31" s="21" t="s">
        <v>173</v>
      </c>
      <c r="E31" s="65" t="s">
        <v>174</v>
      </c>
      <c r="L31" s="20" t="s">
        <v>136</v>
      </c>
      <c r="N31" s="29">
        <v>43672</v>
      </c>
      <c r="P31" s="29" t="str">
        <f t="shared" si="0"/>
        <v>N</v>
      </c>
      <c r="AD31" s="20" t="str">
        <f t="shared" si="3"/>
        <v>N</v>
      </c>
      <c r="AE31" s="28" t="str">
        <f t="shared" si="4"/>
        <v>N</v>
      </c>
      <c r="AF31" s="28">
        <f t="shared" ca="1" si="2"/>
        <v>0</v>
      </c>
    </row>
    <row r="32" spans="1:33">
      <c r="A32" s="20" t="str">
        <f t="shared" ref="A32:A63" si="5">_xlfn.TEXTJOIN(" ",,B32,C32)</f>
        <v>Olivia Andrews</v>
      </c>
      <c r="B32" s="20" t="s">
        <v>51</v>
      </c>
      <c r="C32" s="20" t="s">
        <v>175</v>
      </c>
      <c r="D32" s="20" t="s">
        <v>176</v>
      </c>
      <c r="E32" s="66"/>
      <c r="F32" s="41"/>
      <c r="G32" s="20"/>
      <c r="J32" s="20" t="s">
        <v>49</v>
      </c>
      <c r="L32" s="20" t="s">
        <v>136</v>
      </c>
      <c r="N32" s="29">
        <v>43676</v>
      </c>
      <c r="P32" s="29" t="str">
        <f t="shared" si="0"/>
        <v>N</v>
      </c>
      <c r="AD32" s="20" t="str">
        <f t="shared" si="3"/>
        <v>N</v>
      </c>
      <c r="AE32" s="28" t="str">
        <f t="shared" si="4"/>
        <v>N</v>
      </c>
      <c r="AF32" s="28">
        <f t="shared" ca="1" si="2"/>
        <v>0</v>
      </c>
    </row>
    <row r="33" spans="1:33">
      <c r="A33" s="20" t="str">
        <f t="shared" si="5"/>
        <v>Brandon Peck</v>
      </c>
      <c r="B33" s="20" t="s">
        <v>177</v>
      </c>
      <c r="C33" s="20" t="s">
        <v>178</v>
      </c>
      <c r="D33" s="20" t="s">
        <v>179</v>
      </c>
      <c r="E33" s="66"/>
      <c r="F33" s="41"/>
      <c r="G33" s="20"/>
      <c r="J33" s="20" t="s">
        <v>49</v>
      </c>
      <c r="L33" s="20" t="s">
        <v>136</v>
      </c>
      <c r="N33" s="29">
        <v>43676</v>
      </c>
      <c r="P33" s="29" t="str">
        <f t="shared" si="0"/>
        <v>N</v>
      </c>
      <c r="AD33" s="20" t="str">
        <f t="shared" si="3"/>
        <v>N</v>
      </c>
      <c r="AE33" s="28" t="str">
        <f t="shared" si="4"/>
        <v>N</v>
      </c>
      <c r="AF33" s="28">
        <f t="shared" ca="1" si="2"/>
        <v>0</v>
      </c>
    </row>
    <row r="34" spans="1:33">
      <c r="A34" s="20" t="str">
        <f t="shared" si="5"/>
        <v>Anika Huynh</v>
      </c>
      <c r="B34" s="20" t="s">
        <v>180</v>
      </c>
      <c r="C34" s="44" t="s">
        <v>181</v>
      </c>
      <c r="D34" s="21" t="s">
        <v>182</v>
      </c>
      <c r="E34" s="66"/>
      <c r="F34" s="41"/>
      <c r="G34" s="20"/>
      <c r="J34" s="20" t="s">
        <v>49</v>
      </c>
      <c r="L34" s="20" t="s">
        <v>136</v>
      </c>
      <c r="N34" s="29">
        <v>43676</v>
      </c>
      <c r="P34" s="29" t="str">
        <f t="shared" ref="P34:P65" si="6">IF(O34&lt;&gt;"","Y","N")</f>
        <v>N</v>
      </c>
      <c r="Y34" s="29"/>
      <c r="AD34" s="20" t="str">
        <f t="shared" si="3"/>
        <v>N</v>
      </c>
      <c r="AE34" s="28"/>
      <c r="AF34" s="28">
        <f t="shared" ref="AF34:AF65" ca="1" si="7">COUNTIF(Y34,"&lt;"&amp;TODAY())</f>
        <v>0</v>
      </c>
    </row>
    <row r="35" spans="1:33">
      <c r="A35" s="20" t="str">
        <f t="shared" si="5"/>
        <v>Kasey Engle</v>
      </c>
      <c r="B35" s="20" t="s">
        <v>183</v>
      </c>
      <c r="C35" s="44" t="s">
        <v>184</v>
      </c>
      <c r="D35" s="21" t="s">
        <v>185</v>
      </c>
      <c r="E35" s="66"/>
      <c r="F35" s="41">
        <v>20</v>
      </c>
      <c r="G35" s="20" t="s">
        <v>37</v>
      </c>
      <c r="H35" s="20" t="s">
        <v>54</v>
      </c>
      <c r="J35" s="20" t="s">
        <v>49</v>
      </c>
      <c r="L35" s="20" t="s">
        <v>136</v>
      </c>
      <c r="N35" s="29">
        <v>43676</v>
      </c>
      <c r="O35" s="29">
        <v>43676</v>
      </c>
      <c r="P35" s="29" t="str">
        <f t="shared" si="6"/>
        <v>Y</v>
      </c>
      <c r="Q35" s="20">
        <v>19</v>
      </c>
      <c r="R35" s="78">
        <v>6</v>
      </c>
      <c r="S35" s="78">
        <v>1</v>
      </c>
      <c r="T35" s="20">
        <v>2</v>
      </c>
      <c r="U35" s="20" t="s">
        <v>102</v>
      </c>
      <c r="V35" s="20" t="s">
        <v>43</v>
      </c>
      <c r="W35" s="20">
        <v>1</v>
      </c>
      <c r="X35" s="20">
        <v>0</v>
      </c>
      <c r="AD35" s="20" t="str">
        <f t="shared" si="3"/>
        <v>N</v>
      </c>
      <c r="AF35" s="28">
        <f t="shared" ca="1" si="7"/>
        <v>0</v>
      </c>
    </row>
    <row r="36" spans="1:33">
      <c r="A36" s="20" t="str">
        <f t="shared" si="5"/>
        <v>Bryce Burgess</v>
      </c>
      <c r="B36" s="44" t="s">
        <v>186</v>
      </c>
      <c r="C36" s="20" t="s">
        <v>187</v>
      </c>
      <c r="D36" s="21" t="s">
        <v>188</v>
      </c>
      <c r="E36" s="66"/>
      <c r="F36" s="41"/>
      <c r="G36" s="20"/>
      <c r="J36" s="20" t="s">
        <v>49</v>
      </c>
      <c r="L36" s="20" t="s">
        <v>189</v>
      </c>
      <c r="N36" s="29">
        <v>43676</v>
      </c>
      <c r="P36" s="29" t="str">
        <f t="shared" si="6"/>
        <v>N</v>
      </c>
      <c r="X36" s="20">
        <v>0</v>
      </c>
      <c r="AD36" s="20" t="str">
        <f t="shared" si="3"/>
        <v>N</v>
      </c>
      <c r="AF36" s="28">
        <f t="shared" ca="1" si="7"/>
        <v>0</v>
      </c>
    </row>
    <row r="37" spans="1:33">
      <c r="A37" s="20" t="str">
        <f t="shared" si="5"/>
        <v>Taylor Berardi</v>
      </c>
      <c r="B37" s="44" t="s">
        <v>190</v>
      </c>
      <c r="C37" s="44" t="s">
        <v>191</v>
      </c>
      <c r="D37" s="45" t="s">
        <v>192</v>
      </c>
      <c r="E37" s="66"/>
      <c r="F37" s="41">
        <v>20</v>
      </c>
      <c r="G37" s="20" t="s">
        <v>37</v>
      </c>
      <c r="H37" s="20" t="s">
        <v>54</v>
      </c>
      <c r="J37" s="20" t="s">
        <v>49</v>
      </c>
      <c r="L37" s="20" t="s">
        <v>108</v>
      </c>
      <c r="N37" s="29">
        <v>43676</v>
      </c>
      <c r="O37" s="29">
        <v>43676</v>
      </c>
      <c r="P37" s="29" t="str">
        <f t="shared" si="6"/>
        <v>Y</v>
      </c>
      <c r="Q37" s="20">
        <v>20</v>
      </c>
      <c r="R37" s="78">
        <v>4</v>
      </c>
      <c r="T37" s="20">
        <v>0</v>
      </c>
      <c r="U37" s="20" t="s">
        <v>102</v>
      </c>
      <c r="V37" s="20" t="s">
        <v>43</v>
      </c>
      <c r="W37" s="20">
        <v>1</v>
      </c>
      <c r="X37" s="20">
        <v>0</v>
      </c>
      <c r="AD37" s="20" t="str">
        <f t="shared" si="3"/>
        <v>N</v>
      </c>
      <c r="AF37" s="28">
        <f t="shared" ca="1" si="7"/>
        <v>0</v>
      </c>
    </row>
    <row r="38" spans="1:33">
      <c r="A38" s="20" t="str">
        <f t="shared" si="5"/>
        <v>Rebecca Stroschein</v>
      </c>
      <c r="B38" s="44" t="s">
        <v>193</v>
      </c>
      <c r="C38" s="44" t="s">
        <v>194</v>
      </c>
      <c r="D38" s="21" t="s">
        <v>195</v>
      </c>
      <c r="E38" s="65">
        <v>8144706762</v>
      </c>
      <c r="F38" s="41">
        <v>19</v>
      </c>
      <c r="G38" s="20" t="s">
        <v>37</v>
      </c>
      <c r="H38" s="20" t="s">
        <v>131</v>
      </c>
      <c r="J38" s="20" t="s">
        <v>49</v>
      </c>
      <c r="L38" s="20" t="s">
        <v>41</v>
      </c>
      <c r="N38" s="29">
        <v>43676</v>
      </c>
      <c r="O38" s="29">
        <v>43676</v>
      </c>
      <c r="P38" s="29" t="str">
        <f t="shared" si="6"/>
        <v>Y</v>
      </c>
      <c r="Q38" s="20">
        <v>11</v>
      </c>
      <c r="R38" s="78">
        <v>2</v>
      </c>
      <c r="S38" s="78">
        <v>0</v>
      </c>
      <c r="T38" s="20">
        <v>3</v>
      </c>
      <c r="U38" s="20" t="s">
        <v>42</v>
      </c>
      <c r="V38" s="20" t="s">
        <v>43</v>
      </c>
      <c r="AD38" s="20" t="str">
        <f t="shared" si="3"/>
        <v>N</v>
      </c>
      <c r="AF38" s="28">
        <f t="shared" ca="1" si="7"/>
        <v>0</v>
      </c>
    </row>
    <row r="39" spans="1:33">
      <c r="A39" s="20" t="str">
        <f t="shared" si="5"/>
        <v>Jenna Wasarhelyi </v>
      </c>
      <c r="B39" s="44" t="s">
        <v>196</v>
      </c>
      <c r="C39" s="44" t="s">
        <v>197</v>
      </c>
      <c r="D39" s="21" t="s">
        <v>198</v>
      </c>
      <c r="E39" s="66"/>
      <c r="F39" s="41"/>
      <c r="G39" s="20"/>
      <c r="J39" s="20" t="s">
        <v>49</v>
      </c>
      <c r="L39" s="20" t="s">
        <v>136</v>
      </c>
      <c r="N39" s="29">
        <v>43676</v>
      </c>
      <c r="P39" s="29" t="str">
        <f t="shared" si="6"/>
        <v>N</v>
      </c>
      <c r="AD39" s="20" t="str">
        <f t="shared" si="3"/>
        <v>N</v>
      </c>
      <c r="AF39" s="28">
        <f t="shared" ca="1" si="7"/>
        <v>0</v>
      </c>
    </row>
    <row r="40" spans="1:33">
      <c r="A40" s="20" t="str">
        <f t="shared" si="5"/>
        <v>Amber Herren </v>
      </c>
      <c r="B40" s="44" t="s">
        <v>199</v>
      </c>
      <c r="C40" s="44" t="s">
        <v>200</v>
      </c>
      <c r="D40" s="21" t="s">
        <v>201</v>
      </c>
      <c r="E40" s="66"/>
      <c r="F40" s="41"/>
      <c r="G40" s="20"/>
      <c r="J40" s="20" t="s">
        <v>49</v>
      </c>
      <c r="L40" s="20" t="s">
        <v>136</v>
      </c>
      <c r="N40" s="29">
        <v>43676</v>
      </c>
      <c r="P40" s="29" t="str">
        <f t="shared" si="6"/>
        <v>N</v>
      </c>
      <c r="AD40" s="20" t="str">
        <f t="shared" si="3"/>
        <v>N</v>
      </c>
      <c r="AF40" s="28">
        <f t="shared" ca="1" si="7"/>
        <v>0</v>
      </c>
    </row>
    <row r="41" spans="1:33">
      <c r="A41" s="20" t="str">
        <f t="shared" si="5"/>
        <v>Kayla Miller</v>
      </c>
      <c r="B41" s="20" t="s">
        <v>202</v>
      </c>
      <c r="C41" s="20" t="s">
        <v>203</v>
      </c>
      <c r="D41" s="21" t="s">
        <v>204</v>
      </c>
      <c r="E41" s="66">
        <v>8144691135</v>
      </c>
      <c r="F41" s="41">
        <v>23</v>
      </c>
      <c r="G41" s="20" t="s">
        <v>37</v>
      </c>
      <c r="H41" s="20" t="s">
        <v>38</v>
      </c>
      <c r="J41" s="20" t="s">
        <v>49</v>
      </c>
      <c r="L41" s="20" t="s">
        <v>41</v>
      </c>
      <c r="N41" s="29">
        <v>43679</v>
      </c>
      <c r="O41" s="29">
        <v>43679</v>
      </c>
      <c r="P41" s="29" t="str">
        <f t="shared" si="6"/>
        <v>Y</v>
      </c>
      <c r="Q41" s="20">
        <v>40</v>
      </c>
      <c r="R41" s="78">
        <v>8</v>
      </c>
      <c r="T41" s="20">
        <v>8</v>
      </c>
      <c r="U41" s="20" t="s">
        <v>42</v>
      </c>
      <c r="V41" s="20" t="s">
        <v>43</v>
      </c>
      <c r="AD41" s="20" t="str">
        <f t="shared" si="3"/>
        <v>N</v>
      </c>
      <c r="AF41" s="28">
        <f t="shared" ca="1" si="7"/>
        <v>0</v>
      </c>
    </row>
    <row r="42" spans="1:33">
      <c r="A42" s="20" t="str">
        <f t="shared" si="5"/>
        <v>McKenzie Ott</v>
      </c>
      <c r="B42" s="44" t="s">
        <v>205</v>
      </c>
      <c r="C42" s="20" t="s">
        <v>206</v>
      </c>
      <c r="D42" s="21" t="s">
        <v>207</v>
      </c>
      <c r="E42" s="66"/>
      <c r="F42" s="41"/>
      <c r="G42" s="20"/>
      <c r="J42" s="20" t="s">
        <v>49</v>
      </c>
      <c r="L42" s="20" t="s">
        <v>136</v>
      </c>
      <c r="N42" s="29">
        <v>43679</v>
      </c>
      <c r="P42" s="29" t="str">
        <f t="shared" si="6"/>
        <v>N</v>
      </c>
      <c r="AD42" s="20" t="str">
        <f t="shared" si="3"/>
        <v>N</v>
      </c>
      <c r="AF42" s="28">
        <f t="shared" ca="1" si="7"/>
        <v>0</v>
      </c>
    </row>
    <row r="43" spans="1:33">
      <c r="A43" s="20" t="str">
        <f t="shared" si="5"/>
        <v>Melinda Stebicb</v>
      </c>
      <c r="B43" s="20" t="s">
        <v>208</v>
      </c>
      <c r="C43" s="20" t="s">
        <v>209</v>
      </c>
      <c r="D43" s="21" t="s">
        <v>210</v>
      </c>
      <c r="E43" s="66">
        <v>8145949893</v>
      </c>
      <c r="F43" s="41">
        <v>25</v>
      </c>
      <c r="G43" s="20" t="s">
        <v>37</v>
      </c>
      <c r="H43" s="20" t="s">
        <v>211</v>
      </c>
      <c r="J43" s="20" t="s">
        <v>49</v>
      </c>
      <c r="L43" s="20" t="s">
        <v>108</v>
      </c>
      <c r="M43" s="20" t="s">
        <v>212</v>
      </c>
      <c r="N43" s="29">
        <v>43679</v>
      </c>
      <c r="O43" s="29">
        <v>43679</v>
      </c>
      <c r="P43" s="29" t="str">
        <f t="shared" si="6"/>
        <v>Y</v>
      </c>
      <c r="Q43" s="20">
        <v>37</v>
      </c>
      <c r="R43" s="78">
        <v>15</v>
      </c>
      <c r="T43" s="20">
        <v>6</v>
      </c>
      <c r="U43" s="20" t="s">
        <v>102</v>
      </c>
      <c r="V43" s="20" t="s">
        <v>43</v>
      </c>
      <c r="W43" s="20" t="s">
        <v>213</v>
      </c>
      <c r="X43" s="20">
        <v>0</v>
      </c>
      <c r="AD43" s="20" t="str">
        <f t="shared" si="3"/>
        <v>N</v>
      </c>
      <c r="AF43" s="28">
        <f t="shared" ca="1" si="7"/>
        <v>0</v>
      </c>
      <c r="AG43" s="20" t="s">
        <v>212</v>
      </c>
    </row>
    <row r="44" spans="1:33">
      <c r="A44" s="20" t="str">
        <f t="shared" si="5"/>
        <v>Alexia Perrin</v>
      </c>
      <c r="B44" s="43" t="s">
        <v>214</v>
      </c>
      <c r="C44" s="42" t="s">
        <v>215</v>
      </c>
      <c r="D44" s="21" t="s">
        <v>216</v>
      </c>
      <c r="E44" s="66">
        <v>5708475206</v>
      </c>
      <c r="F44" s="41">
        <v>24</v>
      </c>
      <c r="G44" s="20" t="s">
        <v>37</v>
      </c>
      <c r="H44" s="20" t="s">
        <v>211</v>
      </c>
      <c r="J44" s="20" t="s">
        <v>49</v>
      </c>
      <c r="L44" s="20" t="s">
        <v>108</v>
      </c>
      <c r="N44" s="29">
        <v>43680</v>
      </c>
      <c r="O44" s="29">
        <v>43679</v>
      </c>
      <c r="P44" s="29" t="str">
        <f t="shared" si="6"/>
        <v>Y</v>
      </c>
      <c r="Q44" s="20">
        <v>30</v>
      </c>
      <c r="R44" s="78">
        <v>6</v>
      </c>
      <c r="T44" s="20">
        <v>8</v>
      </c>
      <c r="U44" s="20" t="s">
        <v>102</v>
      </c>
      <c r="V44" s="20" t="s">
        <v>43</v>
      </c>
      <c r="W44" s="20" t="s">
        <v>217</v>
      </c>
      <c r="X44" s="20">
        <v>0</v>
      </c>
      <c r="AD44" s="20" t="str">
        <f t="shared" si="3"/>
        <v>N</v>
      </c>
      <c r="AF44" s="28">
        <f t="shared" ca="1" si="7"/>
        <v>0</v>
      </c>
    </row>
    <row r="45" spans="1:33">
      <c r="A45" s="20" t="str">
        <f t="shared" si="5"/>
        <v>Laura Hastings</v>
      </c>
      <c r="B45" s="20" t="s">
        <v>34</v>
      </c>
      <c r="C45" s="20" t="s">
        <v>218</v>
      </c>
      <c r="D45" s="21" t="s">
        <v>219</v>
      </c>
      <c r="E45" s="66"/>
      <c r="F45" s="41">
        <v>36</v>
      </c>
      <c r="G45" s="20" t="s">
        <v>37</v>
      </c>
      <c r="J45" s="20" t="s">
        <v>49</v>
      </c>
      <c r="L45" s="20" t="s">
        <v>136</v>
      </c>
      <c r="N45" s="29">
        <v>43681</v>
      </c>
      <c r="P45" s="29" t="str">
        <f t="shared" si="6"/>
        <v>N</v>
      </c>
      <c r="AD45" s="20" t="str">
        <f t="shared" si="3"/>
        <v>N</v>
      </c>
      <c r="AF45" s="28">
        <f t="shared" ca="1" si="7"/>
        <v>0</v>
      </c>
    </row>
    <row r="46" spans="1:33">
      <c r="A46" s="20" t="str">
        <f t="shared" si="5"/>
        <v>Patrick</v>
      </c>
      <c r="B46" s="20" t="s">
        <v>220</v>
      </c>
      <c r="E46" s="65" t="s">
        <v>221</v>
      </c>
      <c r="G46" s="65" t="s">
        <v>63</v>
      </c>
      <c r="J46" s="20" t="s">
        <v>85</v>
      </c>
      <c r="L46" s="20" t="s">
        <v>136</v>
      </c>
      <c r="N46" s="29">
        <v>43682</v>
      </c>
      <c r="P46" s="29" t="str">
        <f t="shared" si="6"/>
        <v>N</v>
      </c>
      <c r="AD46" s="20" t="str">
        <f t="shared" ref="AD46:AD70" si="8">IF(Y46&lt;&gt;"","Y","N")</f>
        <v>N</v>
      </c>
      <c r="AF46" s="28">
        <f t="shared" ca="1" si="7"/>
        <v>0</v>
      </c>
    </row>
    <row r="47" spans="1:33">
      <c r="A47" s="20" t="str">
        <f t="shared" si="5"/>
        <v>Shane Samsel</v>
      </c>
      <c r="B47" s="20" t="s">
        <v>222</v>
      </c>
      <c r="C47" s="20" t="s">
        <v>223</v>
      </c>
      <c r="D47" s="20" t="s">
        <v>224</v>
      </c>
      <c r="E47" s="65">
        <v>8482195039</v>
      </c>
      <c r="F47" s="77">
        <v>25</v>
      </c>
      <c r="G47" s="65" t="s">
        <v>63</v>
      </c>
      <c r="H47" s="20" t="s">
        <v>211</v>
      </c>
      <c r="J47" s="20" t="s">
        <v>49</v>
      </c>
      <c r="L47" s="20" t="s">
        <v>108</v>
      </c>
      <c r="N47" s="29">
        <v>43682</v>
      </c>
      <c r="O47" s="29">
        <v>43685</v>
      </c>
      <c r="P47" s="29" t="str">
        <f t="shared" si="6"/>
        <v>Y</v>
      </c>
      <c r="Q47" s="20">
        <v>45</v>
      </c>
      <c r="R47" s="78">
        <v>10</v>
      </c>
      <c r="T47" s="20">
        <v>6</v>
      </c>
      <c r="U47" s="20" t="s">
        <v>102</v>
      </c>
      <c r="V47" s="20" t="s">
        <v>43</v>
      </c>
      <c r="W47" s="20">
        <v>1</v>
      </c>
      <c r="X47" s="20">
        <v>0</v>
      </c>
      <c r="AD47" s="20" t="str">
        <f t="shared" si="8"/>
        <v>N</v>
      </c>
      <c r="AF47" s="28">
        <f t="shared" ca="1" si="7"/>
        <v>0</v>
      </c>
    </row>
    <row r="48" spans="1:33">
      <c r="A48" s="20" t="str">
        <f t="shared" si="5"/>
        <v>Price Samantha</v>
      </c>
      <c r="B48" s="20" t="s">
        <v>225</v>
      </c>
      <c r="C48" s="20" t="s">
        <v>226</v>
      </c>
      <c r="D48" s="20" t="s">
        <v>227</v>
      </c>
      <c r="J48" s="20" t="s">
        <v>49</v>
      </c>
      <c r="L48" s="20" t="s">
        <v>136</v>
      </c>
      <c r="N48" s="29">
        <v>43682</v>
      </c>
      <c r="P48" s="29" t="str">
        <f t="shared" si="6"/>
        <v>N</v>
      </c>
      <c r="AD48" s="20" t="str">
        <f t="shared" si="8"/>
        <v>N</v>
      </c>
      <c r="AF48" s="28">
        <f t="shared" ca="1" si="7"/>
        <v>0</v>
      </c>
    </row>
    <row r="49" spans="1:33">
      <c r="A49" s="20" t="str">
        <f t="shared" si="5"/>
        <v>Gupta Abhishek</v>
      </c>
      <c r="B49" s="20" t="s">
        <v>228</v>
      </c>
      <c r="C49" s="20" t="s">
        <v>229</v>
      </c>
      <c r="D49" s="20" t="s">
        <v>230</v>
      </c>
      <c r="H49" s="20" t="s">
        <v>54</v>
      </c>
      <c r="J49" s="20" t="s">
        <v>49</v>
      </c>
      <c r="L49" s="20" t="s">
        <v>136</v>
      </c>
      <c r="N49" s="29">
        <v>43682</v>
      </c>
      <c r="P49" s="29" t="str">
        <f t="shared" si="6"/>
        <v>N</v>
      </c>
      <c r="W49" s="20">
        <v>8</v>
      </c>
      <c r="X49" s="20">
        <v>0</v>
      </c>
      <c r="AD49" s="20" t="str">
        <f t="shared" si="8"/>
        <v>N</v>
      </c>
      <c r="AF49" s="28">
        <f t="shared" ca="1" si="7"/>
        <v>0</v>
      </c>
    </row>
    <row r="50" spans="1:33">
      <c r="A50" s="20" t="str">
        <f t="shared" si="5"/>
        <v>Rogers Ciera</v>
      </c>
      <c r="B50" s="20" t="s">
        <v>231</v>
      </c>
      <c r="C50" s="20" t="s">
        <v>232</v>
      </c>
      <c r="D50" s="20" t="s">
        <v>233</v>
      </c>
      <c r="J50" s="20" t="s">
        <v>49</v>
      </c>
      <c r="L50" s="20" t="s">
        <v>136</v>
      </c>
      <c r="N50" s="29">
        <v>43682</v>
      </c>
      <c r="P50" s="29" t="str">
        <f t="shared" si="6"/>
        <v>N</v>
      </c>
      <c r="AD50" s="20" t="str">
        <f t="shared" si="8"/>
        <v>N</v>
      </c>
      <c r="AF50" s="28">
        <f t="shared" ca="1" si="7"/>
        <v>0</v>
      </c>
    </row>
    <row r="51" spans="1:33">
      <c r="A51" s="20" t="str">
        <f t="shared" si="5"/>
        <v>Johnson Brandon</v>
      </c>
      <c r="B51" s="20" t="s">
        <v>234</v>
      </c>
      <c r="C51" s="20" t="s">
        <v>177</v>
      </c>
      <c r="D51" s="20" t="s">
        <v>235</v>
      </c>
      <c r="J51" s="20" t="s">
        <v>49</v>
      </c>
      <c r="L51" s="20" t="s">
        <v>136</v>
      </c>
      <c r="N51" s="29">
        <v>43682</v>
      </c>
      <c r="P51" s="29" t="str">
        <f t="shared" si="6"/>
        <v>N</v>
      </c>
      <c r="AD51" s="20" t="str">
        <f t="shared" si="8"/>
        <v>N</v>
      </c>
      <c r="AF51" s="28">
        <f t="shared" ca="1" si="7"/>
        <v>0</v>
      </c>
    </row>
    <row r="52" spans="1:33">
      <c r="A52" s="20" t="str">
        <f t="shared" si="5"/>
        <v>Elijah Haslouer</v>
      </c>
      <c r="B52" s="20" t="s">
        <v>236</v>
      </c>
      <c r="C52" s="20" t="s">
        <v>237</v>
      </c>
      <c r="D52" s="20" t="s">
        <v>238</v>
      </c>
      <c r="E52" s="65">
        <v>6204402120</v>
      </c>
      <c r="F52" s="77">
        <v>19</v>
      </c>
      <c r="G52" s="65" t="s">
        <v>63</v>
      </c>
      <c r="H52" s="20" t="s">
        <v>239</v>
      </c>
      <c r="J52" s="20" t="s">
        <v>49</v>
      </c>
      <c r="L52" s="20" t="s">
        <v>108</v>
      </c>
      <c r="N52" s="29">
        <v>43682</v>
      </c>
      <c r="O52" s="29">
        <v>43684</v>
      </c>
      <c r="P52" s="29" t="str">
        <f t="shared" si="6"/>
        <v>Y</v>
      </c>
      <c r="Q52" s="20">
        <v>58</v>
      </c>
      <c r="R52" s="78">
        <v>17</v>
      </c>
      <c r="T52" s="20">
        <v>10</v>
      </c>
      <c r="U52" s="20" t="s">
        <v>102</v>
      </c>
      <c r="V52" s="20" t="s">
        <v>43</v>
      </c>
      <c r="W52" s="20" t="s">
        <v>240</v>
      </c>
      <c r="X52" s="20">
        <v>0</v>
      </c>
      <c r="AD52" s="20" t="str">
        <f t="shared" si="8"/>
        <v>N</v>
      </c>
      <c r="AF52" s="28">
        <f t="shared" ca="1" si="7"/>
        <v>0</v>
      </c>
    </row>
    <row r="53" spans="1:33">
      <c r="A53" s="20" t="str">
        <f t="shared" si="5"/>
        <v>Nadia Baba</v>
      </c>
      <c r="B53" s="20" t="s">
        <v>241</v>
      </c>
      <c r="C53" s="20" t="s">
        <v>242</v>
      </c>
      <c r="D53" s="20" t="s">
        <v>243</v>
      </c>
      <c r="E53" s="65" t="s">
        <v>244</v>
      </c>
      <c r="F53" s="77">
        <v>22</v>
      </c>
      <c r="G53" s="65" t="s">
        <v>37</v>
      </c>
      <c r="H53" s="20" t="s">
        <v>211</v>
      </c>
      <c r="J53" s="20" t="s">
        <v>49</v>
      </c>
      <c r="L53" s="20" t="s">
        <v>108</v>
      </c>
      <c r="N53" s="29">
        <v>43682</v>
      </c>
      <c r="O53" s="29">
        <v>43684</v>
      </c>
      <c r="P53" s="29" t="str">
        <f t="shared" si="6"/>
        <v>Y</v>
      </c>
      <c r="Q53" s="20">
        <v>48</v>
      </c>
      <c r="R53" s="78">
        <v>9</v>
      </c>
      <c r="T53" s="20">
        <v>10</v>
      </c>
      <c r="U53" s="20" t="s">
        <v>102</v>
      </c>
      <c r="V53" s="20" t="s">
        <v>43</v>
      </c>
      <c r="W53" s="20" t="s">
        <v>245</v>
      </c>
      <c r="X53" s="20">
        <v>0</v>
      </c>
      <c r="AD53" s="20" t="str">
        <f t="shared" si="8"/>
        <v>N</v>
      </c>
      <c r="AF53" s="28">
        <f t="shared" ca="1" si="7"/>
        <v>0</v>
      </c>
    </row>
    <row r="54" spans="1:33">
      <c r="A54" s="20" t="str">
        <f t="shared" si="5"/>
        <v>Patel Ronak</v>
      </c>
      <c r="B54" s="20" t="s">
        <v>246</v>
      </c>
      <c r="C54" s="20" t="s">
        <v>247</v>
      </c>
      <c r="D54" s="20" t="s">
        <v>248</v>
      </c>
      <c r="J54" s="20" t="s">
        <v>49</v>
      </c>
      <c r="L54" s="20" t="s">
        <v>136</v>
      </c>
      <c r="N54" s="29">
        <v>43682</v>
      </c>
      <c r="P54" s="29" t="str">
        <f t="shared" si="6"/>
        <v>N</v>
      </c>
      <c r="AD54" s="20" t="str">
        <f t="shared" si="8"/>
        <v>N</v>
      </c>
      <c r="AF54" s="28">
        <f t="shared" ca="1" si="7"/>
        <v>0</v>
      </c>
    </row>
    <row r="55" spans="1:33">
      <c r="A55" s="20" t="str">
        <f t="shared" si="5"/>
        <v>Albanie Hendrickson-Stives</v>
      </c>
      <c r="B55" s="20" t="s">
        <v>249</v>
      </c>
      <c r="C55" s="20" t="s">
        <v>250</v>
      </c>
      <c r="D55" s="21" t="s">
        <v>251</v>
      </c>
      <c r="E55" s="65">
        <v>7163788950</v>
      </c>
      <c r="F55" s="77">
        <v>24</v>
      </c>
      <c r="G55" s="65" t="s">
        <v>37</v>
      </c>
      <c r="H55" s="20" t="s">
        <v>54</v>
      </c>
      <c r="J55" s="20" t="s">
        <v>85</v>
      </c>
      <c r="L55" s="20" t="s">
        <v>108</v>
      </c>
      <c r="N55" s="29">
        <v>43682</v>
      </c>
      <c r="O55" s="29">
        <v>43682</v>
      </c>
      <c r="P55" s="29" t="str">
        <f t="shared" si="6"/>
        <v>Y</v>
      </c>
      <c r="Q55" s="20">
        <v>27</v>
      </c>
      <c r="R55" s="78">
        <v>9</v>
      </c>
      <c r="T55" s="20">
        <v>3</v>
      </c>
      <c r="U55" s="20" t="s">
        <v>102</v>
      </c>
      <c r="V55" s="20" t="s">
        <v>43</v>
      </c>
      <c r="W55" s="20">
        <v>1</v>
      </c>
      <c r="X55" s="20">
        <v>0</v>
      </c>
      <c r="AD55" s="20" t="str">
        <f t="shared" si="8"/>
        <v>N</v>
      </c>
      <c r="AF55" s="28">
        <f t="shared" ca="1" si="7"/>
        <v>0</v>
      </c>
    </row>
    <row r="56" spans="1:33">
      <c r="A56" s="20" t="str">
        <f t="shared" si="5"/>
        <v>Taylor Clark</v>
      </c>
      <c r="B56" s="20" t="s">
        <v>190</v>
      </c>
      <c r="C56" s="20" t="s">
        <v>252</v>
      </c>
      <c r="D56" s="21" t="s">
        <v>253</v>
      </c>
      <c r="H56" s="20" t="s">
        <v>54</v>
      </c>
      <c r="J56" s="20" t="s">
        <v>49</v>
      </c>
      <c r="L56" s="20" t="s">
        <v>100</v>
      </c>
      <c r="M56" s="20" t="s">
        <v>254</v>
      </c>
      <c r="P56" s="29" t="str">
        <f t="shared" si="6"/>
        <v>N</v>
      </c>
      <c r="U56" s="20" t="s">
        <v>102</v>
      </c>
      <c r="V56" s="20" t="s">
        <v>43</v>
      </c>
      <c r="W56" s="20">
        <v>8</v>
      </c>
      <c r="X56" s="20">
        <v>0</v>
      </c>
      <c r="AD56" s="20" t="str">
        <f t="shared" si="8"/>
        <v>N</v>
      </c>
      <c r="AF56" s="28">
        <f t="shared" ca="1" si="7"/>
        <v>0</v>
      </c>
      <c r="AG56" s="20" t="s">
        <v>254</v>
      </c>
    </row>
    <row r="57" spans="1:33">
      <c r="A57" s="20" t="str">
        <f t="shared" si="5"/>
        <v>Siani Barbosa</v>
      </c>
      <c r="B57" s="20" t="s">
        <v>255</v>
      </c>
      <c r="C57" s="20" t="s">
        <v>256</v>
      </c>
      <c r="D57" s="61" t="s">
        <v>257</v>
      </c>
      <c r="E57" s="65">
        <v>2155127474</v>
      </c>
      <c r="F57" s="77">
        <v>21</v>
      </c>
      <c r="G57" s="65" t="s">
        <v>37</v>
      </c>
      <c r="H57" s="20" t="s">
        <v>54</v>
      </c>
      <c r="J57" s="20" t="s">
        <v>40</v>
      </c>
      <c r="L57" s="20" t="s">
        <v>108</v>
      </c>
      <c r="N57" s="29">
        <v>43684</v>
      </c>
      <c r="O57" s="29">
        <v>43684</v>
      </c>
      <c r="P57" s="29" t="str">
        <f t="shared" si="6"/>
        <v>Y</v>
      </c>
      <c r="Q57" s="20">
        <v>27</v>
      </c>
      <c r="R57" s="78">
        <v>9</v>
      </c>
      <c r="T57" s="20">
        <v>5</v>
      </c>
      <c r="U57" s="20" t="s">
        <v>102</v>
      </c>
      <c r="V57" s="20" t="s">
        <v>43</v>
      </c>
      <c r="W57" s="20">
        <v>1</v>
      </c>
      <c r="X57" s="20">
        <v>0</v>
      </c>
      <c r="AD57" s="20" t="str">
        <f t="shared" si="8"/>
        <v>N</v>
      </c>
      <c r="AF57" s="28">
        <f t="shared" ca="1" si="7"/>
        <v>0</v>
      </c>
    </row>
    <row r="58" spans="1:33">
      <c r="A58" s="20" t="str">
        <f t="shared" si="5"/>
        <v>Paul Ahrenholtz</v>
      </c>
      <c r="B58" s="20" t="s">
        <v>258</v>
      </c>
      <c r="C58" s="20" t="s">
        <v>259</v>
      </c>
      <c r="D58" s="61" t="s">
        <v>260</v>
      </c>
      <c r="L58" s="20" t="s">
        <v>136</v>
      </c>
      <c r="N58" s="29">
        <v>43684</v>
      </c>
      <c r="P58" s="29" t="str">
        <f t="shared" si="6"/>
        <v>N</v>
      </c>
      <c r="AD58" s="20" t="str">
        <f t="shared" si="8"/>
        <v>N</v>
      </c>
      <c r="AF58" s="28">
        <f t="shared" ca="1" si="7"/>
        <v>0</v>
      </c>
    </row>
    <row r="59" spans="1:33">
      <c r="A59" s="20" t="str">
        <f t="shared" si="5"/>
        <v>Allie</v>
      </c>
      <c r="B59" s="20" t="s">
        <v>261</v>
      </c>
      <c r="E59" s="65" t="s">
        <v>262</v>
      </c>
      <c r="J59" s="20" t="s">
        <v>85</v>
      </c>
      <c r="M59" s="20" t="s">
        <v>263</v>
      </c>
      <c r="P59" s="29" t="str">
        <f t="shared" si="6"/>
        <v>N</v>
      </c>
      <c r="AD59" s="20" t="str">
        <f t="shared" si="8"/>
        <v>N</v>
      </c>
      <c r="AF59" s="28">
        <f t="shared" ca="1" si="7"/>
        <v>0</v>
      </c>
      <c r="AG59" s="20" t="s">
        <v>263</v>
      </c>
    </row>
    <row r="60" spans="1:33">
      <c r="A60" s="20" t="str">
        <f t="shared" si="5"/>
        <v>Leighandra McGuire</v>
      </c>
      <c r="B60" s="20" t="s">
        <v>264</v>
      </c>
      <c r="C60" s="20" t="s">
        <v>265</v>
      </c>
      <c r="D60" s="20" t="s">
        <v>266</v>
      </c>
      <c r="J60" s="20" t="s">
        <v>49</v>
      </c>
      <c r="L60" s="20" t="s">
        <v>136</v>
      </c>
      <c r="N60" s="29">
        <v>41130</v>
      </c>
      <c r="P60" s="29" t="str">
        <f t="shared" si="6"/>
        <v>N</v>
      </c>
      <c r="AD60" s="20" t="str">
        <f t="shared" si="8"/>
        <v>N</v>
      </c>
      <c r="AF60" s="28">
        <f t="shared" ca="1" si="7"/>
        <v>0</v>
      </c>
    </row>
    <row r="61" spans="1:33">
      <c r="A61" s="20" t="str">
        <f t="shared" si="5"/>
        <v>Ayanna Harmon</v>
      </c>
      <c r="B61" s="20" t="s">
        <v>267</v>
      </c>
      <c r="C61" s="20" t="s">
        <v>268</v>
      </c>
      <c r="D61" s="20" t="s">
        <v>269</v>
      </c>
      <c r="E61" s="65">
        <v>2676480334</v>
      </c>
      <c r="F61" s="77">
        <v>22</v>
      </c>
      <c r="G61" s="65" t="s">
        <v>37</v>
      </c>
      <c r="H61" s="20" t="s">
        <v>54</v>
      </c>
      <c r="J61" s="20" t="s">
        <v>40</v>
      </c>
      <c r="L61" s="20" t="s">
        <v>108</v>
      </c>
      <c r="N61" s="29">
        <v>41130</v>
      </c>
      <c r="O61" s="29">
        <v>43688</v>
      </c>
      <c r="P61" s="29" t="str">
        <f t="shared" si="6"/>
        <v>Y</v>
      </c>
      <c r="Q61" s="20">
        <v>26</v>
      </c>
      <c r="R61" s="78">
        <v>7</v>
      </c>
      <c r="T61" s="20">
        <v>3</v>
      </c>
      <c r="U61" s="20" t="s">
        <v>102</v>
      </c>
      <c r="V61" s="20" t="s">
        <v>43</v>
      </c>
      <c r="W61" s="20" t="s">
        <v>270</v>
      </c>
      <c r="X61" s="20">
        <v>0</v>
      </c>
      <c r="AD61" s="20" t="str">
        <f t="shared" si="8"/>
        <v>N</v>
      </c>
      <c r="AF61" s="28">
        <f t="shared" ca="1" si="7"/>
        <v>0</v>
      </c>
    </row>
    <row r="62" spans="1:33">
      <c r="A62" s="20" t="str">
        <f t="shared" si="5"/>
        <v>Ethan Sheppard</v>
      </c>
      <c r="B62" s="20" t="s">
        <v>60</v>
      </c>
      <c r="C62" s="20" t="s">
        <v>271</v>
      </c>
      <c r="D62" s="20" t="s">
        <v>272</v>
      </c>
      <c r="J62" s="20" t="s">
        <v>49</v>
      </c>
      <c r="L62" s="20" t="s">
        <v>136</v>
      </c>
      <c r="N62" s="29">
        <v>41130</v>
      </c>
      <c r="P62" s="29" t="str">
        <f t="shared" si="6"/>
        <v>N</v>
      </c>
      <c r="AD62" s="20" t="str">
        <f t="shared" si="8"/>
        <v>N</v>
      </c>
      <c r="AF62" s="28">
        <f t="shared" ca="1" si="7"/>
        <v>0</v>
      </c>
    </row>
    <row r="63" spans="1:33">
      <c r="A63" s="20" t="str">
        <f t="shared" si="5"/>
        <v>george mort</v>
      </c>
      <c r="B63" s="20" t="s">
        <v>273</v>
      </c>
      <c r="C63" s="20" t="s">
        <v>274</v>
      </c>
      <c r="D63" s="20" t="s">
        <v>275</v>
      </c>
      <c r="J63" s="20" t="s">
        <v>85</v>
      </c>
      <c r="L63" s="20" t="s">
        <v>136</v>
      </c>
      <c r="N63" s="29">
        <v>41130</v>
      </c>
      <c r="P63" s="29" t="str">
        <f t="shared" si="6"/>
        <v>N</v>
      </c>
      <c r="AD63" s="20" t="str">
        <f t="shared" si="8"/>
        <v>N</v>
      </c>
      <c r="AF63" s="28">
        <f t="shared" ca="1" si="7"/>
        <v>0</v>
      </c>
    </row>
    <row r="64" spans="1:33">
      <c r="A64" s="20" t="str">
        <f t="shared" ref="A64:A95" si="9">_xlfn.TEXTJOIN(" ",,B64,C64)</f>
        <v>Hope Meeker</v>
      </c>
      <c r="B64" s="20" t="s">
        <v>276</v>
      </c>
      <c r="C64" s="20" t="s">
        <v>277</v>
      </c>
      <c r="D64" s="21" t="s">
        <v>278</v>
      </c>
      <c r="E64" s="65" t="s">
        <v>279</v>
      </c>
      <c r="J64" s="20" t="s">
        <v>85</v>
      </c>
      <c r="L64" s="20" t="s">
        <v>136</v>
      </c>
      <c r="N64" s="29">
        <v>41130</v>
      </c>
      <c r="P64" s="29" t="str">
        <f t="shared" si="6"/>
        <v>N</v>
      </c>
      <c r="AD64" s="20" t="str">
        <f t="shared" si="8"/>
        <v>N</v>
      </c>
      <c r="AF64" s="28">
        <f t="shared" ca="1" si="7"/>
        <v>0</v>
      </c>
    </row>
    <row r="65" spans="1:34">
      <c r="A65" s="20" t="str">
        <f t="shared" si="9"/>
        <v>Kiarat Vidal</v>
      </c>
      <c r="B65" s="20" t="s">
        <v>280</v>
      </c>
      <c r="C65" s="28" t="s">
        <v>281</v>
      </c>
      <c r="D65" s="21" t="s">
        <v>282</v>
      </c>
      <c r="E65" s="66">
        <v>4126253576</v>
      </c>
      <c r="F65" s="20">
        <v>19</v>
      </c>
      <c r="G65" s="20" t="s">
        <v>37</v>
      </c>
      <c r="H65" s="20" t="s">
        <v>38</v>
      </c>
      <c r="J65" s="20" t="s">
        <v>64</v>
      </c>
      <c r="L65" s="20" t="s">
        <v>41</v>
      </c>
      <c r="N65" s="29">
        <v>43689</v>
      </c>
      <c r="O65" s="29">
        <v>43689</v>
      </c>
      <c r="P65" s="29" t="str">
        <f t="shared" si="6"/>
        <v>Y</v>
      </c>
      <c r="Q65" s="20">
        <v>22</v>
      </c>
      <c r="R65" s="78">
        <v>7</v>
      </c>
      <c r="T65" s="20">
        <v>7</v>
      </c>
      <c r="U65" s="20" t="s">
        <v>42</v>
      </c>
      <c r="V65" s="20" t="s">
        <v>43</v>
      </c>
      <c r="Y65" s="20" t="s">
        <v>283</v>
      </c>
      <c r="AD65" s="20" t="str">
        <f t="shared" si="8"/>
        <v>Y</v>
      </c>
      <c r="AF65" s="28">
        <f t="shared" ca="1" si="7"/>
        <v>0</v>
      </c>
    </row>
    <row r="66" spans="1:34">
      <c r="A66" s="20" t="str">
        <f t="shared" si="9"/>
        <v>Rachel Dean</v>
      </c>
      <c r="B66" s="20" t="s">
        <v>284</v>
      </c>
      <c r="C66" s="20" t="s">
        <v>285</v>
      </c>
      <c r="D66" s="21" t="s">
        <v>286</v>
      </c>
      <c r="E66" s="66">
        <v>5098858450</v>
      </c>
      <c r="F66" s="20">
        <v>24</v>
      </c>
      <c r="G66" s="20" t="s">
        <v>37</v>
      </c>
      <c r="H66" s="20" t="s">
        <v>38</v>
      </c>
      <c r="J66" s="20" t="s">
        <v>49</v>
      </c>
      <c r="L66" s="20" t="s">
        <v>108</v>
      </c>
      <c r="N66" s="29">
        <v>43689</v>
      </c>
      <c r="O66" s="29">
        <v>43695</v>
      </c>
      <c r="P66" s="29" t="str">
        <f t="shared" ref="P66:P97" si="10">IF(O66&lt;&gt;"","Y","N")</f>
        <v>Y</v>
      </c>
      <c r="Q66" s="20">
        <v>30</v>
      </c>
      <c r="R66" s="78">
        <v>5</v>
      </c>
      <c r="T66" s="20">
        <v>9</v>
      </c>
      <c r="U66" s="20" t="s">
        <v>102</v>
      </c>
      <c r="V66" s="20" t="s">
        <v>43</v>
      </c>
      <c r="W66" s="20">
        <v>5</v>
      </c>
      <c r="X66" s="20">
        <v>0</v>
      </c>
      <c r="AD66" s="20" t="str">
        <f t="shared" si="8"/>
        <v>N</v>
      </c>
      <c r="AF66" s="28">
        <f t="shared" ref="AF66:AF79" ca="1" si="11">COUNTIF(Y66,"&lt;"&amp;TODAY())</f>
        <v>0</v>
      </c>
    </row>
    <row r="67" spans="1:34">
      <c r="A67" s="20" t="str">
        <f t="shared" si="9"/>
        <v>Brittany Hamilton</v>
      </c>
      <c r="B67" s="20" t="s">
        <v>287</v>
      </c>
      <c r="C67" s="20" t="s">
        <v>288</v>
      </c>
      <c r="D67" s="21" t="s">
        <v>289</v>
      </c>
      <c r="E67" s="66"/>
      <c r="F67" s="20"/>
      <c r="G67" s="20"/>
      <c r="J67" s="20" t="s">
        <v>49</v>
      </c>
      <c r="L67" s="20" t="s">
        <v>136</v>
      </c>
      <c r="N67" s="29">
        <v>43689</v>
      </c>
      <c r="P67" s="29" t="str">
        <f t="shared" si="10"/>
        <v>N</v>
      </c>
      <c r="AD67" s="20" t="str">
        <f t="shared" si="8"/>
        <v>N</v>
      </c>
      <c r="AF67" s="28">
        <f t="shared" ca="1" si="11"/>
        <v>0</v>
      </c>
    </row>
    <row r="68" spans="1:34">
      <c r="A68" s="20" t="str">
        <f t="shared" si="9"/>
        <v>Emily Garcia</v>
      </c>
      <c r="B68" s="20" t="s">
        <v>149</v>
      </c>
      <c r="C68" s="20" t="s">
        <v>290</v>
      </c>
      <c r="D68" s="21" t="s">
        <v>291</v>
      </c>
      <c r="E68" s="66"/>
      <c r="F68" s="20"/>
      <c r="G68" s="20"/>
      <c r="J68" s="20" t="s">
        <v>49</v>
      </c>
      <c r="L68" s="20" t="s">
        <v>136</v>
      </c>
      <c r="N68" s="29">
        <v>43689</v>
      </c>
      <c r="P68" s="29" t="str">
        <f t="shared" si="10"/>
        <v>N</v>
      </c>
      <c r="AD68" s="20" t="str">
        <f t="shared" si="8"/>
        <v>N</v>
      </c>
      <c r="AF68" s="28">
        <f t="shared" ca="1" si="11"/>
        <v>0</v>
      </c>
    </row>
    <row r="69" spans="1:34">
      <c r="A69" s="20" t="str">
        <f t="shared" si="9"/>
        <v>Lillian Hixson</v>
      </c>
      <c r="B69" s="20" t="s">
        <v>292</v>
      </c>
      <c r="C69" s="20" t="s">
        <v>293</v>
      </c>
      <c r="D69" s="21" t="s">
        <v>294</v>
      </c>
      <c r="E69" s="66"/>
      <c r="F69" s="20"/>
      <c r="G69" s="20"/>
      <c r="J69" s="20" t="s">
        <v>49</v>
      </c>
      <c r="L69" s="20" t="s">
        <v>136</v>
      </c>
      <c r="N69" s="29">
        <v>43689</v>
      </c>
      <c r="P69" s="29" t="str">
        <f t="shared" si="10"/>
        <v>N</v>
      </c>
      <c r="AD69" s="20" t="str">
        <f t="shared" si="8"/>
        <v>N</v>
      </c>
      <c r="AF69" s="28">
        <f t="shared" ca="1" si="11"/>
        <v>0</v>
      </c>
    </row>
    <row r="70" spans="1:34">
      <c r="A70" s="20" t="str">
        <f t="shared" si="9"/>
        <v>Kenneth Mclain</v>
      </c>
      <c r="B70" s="20" t="s">
        <v>295</v>
      </c>
      <c r="C70" s="20" t="s">
        <v>296</v>
      </c>
      <c r="D70" s="21" t="s">
        <v>297</v>
      </c>
      <c r="E70" s="66" t="s">
        <v>298</v>
      </c>
      <c r="F70" s="20">
        <v>23</v>
      </c>
      <c r="G70" s="20" t="s">
        <v>63</v>
      </c>
      <c r="H70" s="20" t="s">
        <v>54</v>
      </c>
      <c r="J70" s="20" t="s">
        <v>49</v>
      </c>
      <c r="L70" s="20" t="s">
        <v>108</v>
      </c>
      <c r="N70" s="29">
        <v>43689</v>
      </c>
      <c r="O70" s="29">
        <v>43691</v>
      </c>
      <c r="P70" s="29" t="str">
        <f t="shared" si="10"/>
        <v>Y</v>
      </c>
      <c r="Q70" s="20">
        <v>38</v>
      </c>
      <c r="R70" s="78">
        <v>10</v>
      </c>
      <c r="T70" s="20">
        <v>4</v>
      </c>
      <c r="U70" s="20" t="s">
        <v>102</v>
      </c>
      <c r="V70" s="20" t="s">
        <v>43</v>
      </c>
      <c r="W70" s="20" t="s">
        <v>299</v>
      </c>
      <c r="AD70" s="20" t="str">
        <f t="shared" si="8"/>
        <v>N</v>
      </c>
      <c r="AF70" s="28">
        <f t="shared" ca="1" si="11"/>
        <v>0</v>
      </c>
    </row>
    <row r="71" spans="1:34">
      <c r="A71" s="20" t="str">
        <f t="shared" si="9"/>
        <v>Ashley Wegner</v>
      </c>
      <c r="B71" s="20" t="s">
        <v>300</v>
      </c>
      <c r="C71" s="20" t="s">
        <v>301</v>
      </c>
      <c r="D71" s="21" t="s">
        <v>302</v>
      </c>
      <c r="J71" s="20" t="s">
        <v>49</v>
      </c>
      <c r="L71" s="20" t="s">
        <v>136</v>
      </c>
      <c r="N71" s="29">
        <v>43691</v>
      </c>
      <c r="P71" s="29" t="str">
        <f t="shared" si="10"/>
        <v>N</v>
      </c>
      <c r="AF71" s="28">
        <f t="shared" ca="1" si="11"/>
        <v>0</v>
      </c>
    </row>
    <row r="72" spans="1:34">
      <c r="A72" s="20" t="str">
        <f t="shared" si="9"/>
        <v>Alfredo Cisneros</v>
      </c>
      <c r="B72" s="20" t="s">
        <v>303</v>
      </c>
      <c r="C72" s="20" t="s">
        <v>304</v>
      </c>
      <c r="D72" s="21" t="s">
        <v>305</v>
      </c>
      <c r="E72" s="65">
        <v>4252198678</v>
      </c>
      <c r="F72" s="77">
        <v>25</v>
      </c>
      <c r="G72" s="65" t="s">
        <v>63</v>
      </c>
      <c r="H72" s="20" t="s">
        <v>54</v>
      </c>
      <c r="J72" s="20" t="s">
        <v>49</v>
      </c>
      <c r="L72" s="20" t="s">
        <v>108</v>
      </c>
      <c r="N72" s="29">
        <v>43691</v>
      </c>
      <c r="O72" s="29">
        <v>43691</v>
      </c>
      <c r="P72" s="29" t="str">
        <f t="shared" si="10"/>
        <v>Y</v>
      </c>
      <c r="Q72" s="20">
        <v>37</v>
      </c>
      <c r="R72" s="78">
        <v>11</v>
      </c>
      <c r="T72" s="20">
        <v>7</v>
      </c>
      <c r="U72" s="20" t="s">
        <v>42</v>
      </c>
      <c r="V72" s="20" t="s">
        <v>43</v>
      </c>
      <c r="W72" s="20">
        <v>8</v>
      </c>
      <c r="X72" s="20">
        <v>0</v>
      </c>
      <c r="AF72" s="28">
        <f t="shared" ca="1" si="11"/>
        <v>0</v>
      </c>
    </row>
    <row r="73" spans="1:34">
      <c r="A73" s="20" t="str">
        <f t="shared" si="9"/>
        <v>Monica Villa</v>
      </c>
      <c r="B73" s="20" t="s">
        <v>306</v>
      </c>
      <c r="C73" s="20" t="s">
        <v>307</v>
      </c>
      <c r="D73" s="21" t="s">
        <v>308</v>
      </c>
      <c r="J73" s="20" t="s">
        <v>49</v>
      </c>
      <c r="L73" s="20" t="s">
        <v>136</v>
      </c>
      <c r="N73" s="29">
        <v>43691</v>
      </c>
      <c r="P73" s="29" t="str">
        <f t="shared" si="10"/>
        <v>N</v>
      </c>
      <c r="AF73" s="28">
        <f t="shared" ca="1" si="11"/>
        <v>0</v>
      </c>
    </row>
    <row r="74" spans="1:34">
      <c r="A74" s="20" t="str">
        <f t="shared" si="9"/>
        <v>Tianna Riggsbee</v>
      </c>
      <c r="B74" s="20" t="s">
        <v>309</v>
      </c>
      <c r="C74" s="20" t="s">
        <v>310</v>
      </c>
      <c r="D74" s="21" t="s">
        <v>311</v>
      </c>
      <c r="J74" s="20" t="s">
        <v>49</v>
      </c>
      <c r="L74" s="20" t="s">
        <v>136</v>
      </c>
      <c r="N74" s="29">
        <v>43691</v>
      </c>
      <c r="P74" s="29" t="str">
        <f t="shared" si="10"/>
        <v>N</v>
      </c>
      <c r="AF74" s="28">
        <f t="shared" ca="1" si="11"/>
        <v>0</v>
      </c>
    </row>
    <row r="75" spans="1:34">
      <c r="A75" s="20" t="str">
        <f t="shared" si="9"/>
        <v>Abigail Cosgrove</v>
      </c>
      <c r="B75" s="20" t="s">
        <v>312</v>
      </c>
      <c r="C75" s="20" t="s">
        <v>313</v>
      </c>
      <c r="D75" s="21" t="s">
        <v>314</v>
      </c>
      <c r="E75" s="65">
        <v>4849474438</v>
      </c>
      <c r="F75" s="77">
        <v>23</v>
      </c>
      <c r="G75" s="65" t="s">
        <v>37</v>
      </c>
      <c r="H75" s="20" t="s">
        <v>54</v>
      </c>
      <c r="J75" s="20" t="s">
        <v>64</v>
      </c>
      <c r="K75" s="20" t="s">
        <v>315</v>
      </c>
      <c r="L75" s="20" t="s">
        <v>41</v>
      </c>
      <c r="N75" s="29">
        <v>43691</v>
      </c>
      <c r="P75" s="29" t="str">
        <f t="shared" si="10"/>
        <v>N</v>
      </c>
      <c r="Q75" s="20">
        <v>11</v>
      </c>
      <c r="R75" s="78">
        <v>5</v>
      </c>
      <c r="T75" s="20">
        <v>0</v>
      </c>
      <c r="U75" s="20" t="s">
        <v>42</v>
      </c>
      <c r="V75" s="20" t="s">
        <v>43</v>
      </c>
      <c r="AF75" s="28">
        <f t="shared" ca="1" si="11"/>
        <v>0</v>
      </c>
    </row>
    <row r="76" spans="1:34">
      <c r="A76" s="20" t="str">
        <f t="shared" si="9"/>
        <v>Luis E Nunez</v>
      </c>
      <c r="B76" s="20" t="s">
        <v>316</v>
      </c>
      <c r="C76" s="20" t="s">
        <v>317</v>
      </c>
      <c r="D76" s="21" t="s">
        <v>318</v>
      </c>
      <c r="E76" s="65">
        <v>6264784683</v>
      </c>
      <c r="F76" s="77">
        <v>25</v>
      </c>
      <c r="G76" s="65" t="s">
        <v>63</v>
      </c>
      <c r="H76" s="20" t="s">
        <v>54</v>
      </c>
      <c r="J76" s="20" t="s">
        <v>64</v>
      </c>
      <c r="K76" s="20" t="s">
        <v>319</v>
      </c>
      <c r="L76" s="20" t="s">
        <v>108</v>
      </c>
      <c r="N76" s="29">
        <v>43691</v>
      </c>
      <c r="O76" s="29">
        <v>43691</v>
      </c>
      <c r="P76" s="29" t="str">
        <f t="shared" si="10"/>
        <v>Y</v>
      </c>
      <c r="Q76" s="20">
        <v>28</v>
      </c>
      <c r="R76" s="78">
        <v>7</v>
      </c>
      <c r="T76" s="20">
        <v>8</v>
      </c>
      <c r="U76" s="20" t="s">
        <v>42</v>
      </c>
      <c r="V76" s="20" t="s">
        <v>43</v>
      </c>
      <c r="W76" s="20">
        <v>3</v>
      </c>
      <c r="AF76" s="28">
        <f t="shared" ca="1" si="11"/>
        <v>0</v>
      </c>
      <c r="AH76" s="20" t="s">
        <v>320</v>
      </c>
    </row>
    <row r="77" spans="1:34">
      <c r="A77" s="20" t="str">
        <f t="shared" si="9"/>
        <v>Chaarvi</v>
      </c>
      <c r="B77" s="20" t="s">
        <v>321</v>
      </c>
      <c r="D77" s="21" t="s">
        <v>322</v>
      </c>
      <c r="E77" s="65" t="s">
        <v>323</v>
      </c>
      <c r="L77" s="20" t="s">
        <v>136</v>
      </c>
      <c r="N77" s="29">
        <v>43692</v>
      </c>
      <c r="P77" s="29" t="str">
        <f t="shared" si="10"/>
        <v>N</v>
      </c>
      <c r="AF77" s="28">
        <f t="shared" ca="1" si="11"/>
        <v>0</v>
      </c>
    </row>
    <row r="78" spans="1:34">
      <c r="A78" s="20" t="str">
        <f t="shared" si="9"/>
        <v>Cassidy Brown</v>
      </c>
      <c r="B78" s="20" t="s">
        <v>324</v>
      </c>
      <c r="C78" s="20" t="s">
        <v>76</v>
      </c>
      <c r="D78" s="21" t="s">
        <v>325</v>
      </c>
      <c r="E78" s="65">
        <v>8144044326</v>
      </c>
      <c r="F78" s="77">
        <v>21</v>
      </c>
      <c r="G78" s="65" t="s">
        <v>37</v>
      </c>
      <c r="H78" s="20" t="s">
        <v>54</v>
      </c>
      <c r="J78" s="20" t="s">
        <v>326</v>
      </c>
      <c r="L78" s="20" t="s">
        <v>108</v>
      </c>
      <c r="M78" s="20" t="s">
        <v>327</v>
      </c>
      <c r="N78" s="29">
        <v>43692</v>
      </c>
      <c r="O78" s="29">
        <v>43692</v>
      </c>
      <c r="P78" s="29" t="str">
        <f t="shared" si="10"/>
        <v>Y</v>
      </c>
      <c r="Q78" s="20">
        <v>22</v>
      </c>
      <c r="R78" s="78">
        <v>6</v>
      </c>
      <c r="T78" s="20">
        <v>10</v>
      </c>
      <c r="U78" s="20" t="s">
        <v>102</v>
      </c>
      <c r="V78" s="20" t="s">
        <v>43</v>
      </c>
      <c r="W78" s="20">
        <v>5</v>
      </c>
      <c r="AF78" s="28">
        <f t="shared" ca="1" si="11"/>
        <v>0</v>
      </c>
    </row>
    <row r="79" spans="1:34">
      <c r="A79" s="20" t="str">
        <f t="shared" si="9"/>
        <v>Kari Rucinski</v>
      </c>
      <c r="B79" s="20" t="s">
        <v>328</v>
      </c>
      <c r="C79" s="20" t="s">
        <v>329</v>
      </c>
      <c r="D79" s="21" t="s">
        <v>330</v>
      </c>
      <c r="H79" s="20" t="s">
        <v>54</v>
      </c>
      <c r="J79" s="20" t="s">
        <v>85</v>
      </c>
      <c r="L79" s="20" t="s">
        <v>100</v>
      </c>
      <c r="P79" s="29" t="str">
        <f t="shared" si="10"/>
        <v>N</v>
      </c>
      <c r="AF79" s="28">
        <f t="shared" ca="1" si="11"/>
        <v>0</v>
      </c>
    </row>
    <row r="80" spans="1:34">
      <c r="A80" s="20" t="str">
        <f t="shared" si="9"/>
        <v>Jared Keller</v>
      </c>
      <c r="B80" s="20" t="s">
        <v>331</v>
      </c>
      <c r="C80" s="20" t="s">
        <v>332</v>
      </c>
      <c r="D80" s="21" t="s">
        <v>333</v>
      </c>
      <c r="J80" s="20" t="s">
        <v>64</v>
      </c>
      <c r="K80" s="20" t="s">
        <v>334</v>
      </c>
      <c r="L80" s="20" t="s">
        <v>108</v>
      </c>
      <c r="N80" s="29">
        <v>43696</v>
      </c>
      <c r="O80" s="29">
        <v>43696</v>
      </c>
      <c r="P80" s="29" t="str">
        <f t="shared" si="10"/>
        <v>Y</v>
      </c>
      <c r="Q80" s="20">
        <v>24</v>
      </c>
      <c r="R80" s="78">
        <v>6</v>
      </c>
      <c r="T80" s="20">
        <v>2</v>
      </c>
      <c r="U80" s="20" t="s">
        <v>102</v>
      </c>
      <c r="V80" s="20" t="s">
        <v>43</v>
      </c>
      <c r="W80" s="20">
        <v>1</v>
      </c>
      <c r="X80" s="20">
        <v>0</v>
      </c>
    </row>
    <row r="81" spans="1:24">
      <c r="A81" s="20" t="str">
        <f t="shared" si="9"/>
        <v>Kristen Crable</v>
      </c>
      <c r="B81" s="20" t="s">
        <v>335</v>
      </c>
      <c r="C81" s="20" t="s">
        <v>336</v>
      </c>
      <c r="D81" s="21" t="s">
        <v>337</v>
      </c>
      <c r="J81" s="20" t="s">
        <v>85</v>
      </c>
      <c r="L81" s="20" t="s">
        <v>136</v>
      </c>
      <c r="N81" s="29">
        <v>43698</v>
      </c>
      <c r="P81" s="29" t="str">
        <f t="shared" si="10"/>
        <v>N</v>
      </c>
    </row>
    <row r="82" spans="1:24">
      <c r="A82" s="20" t="str">
        <f t="shared" si="9"/>
        <v>Stacy Cutler</v>
      </c>
      <c r="B82" s="20" t="s">
        <v>338</v>
      </c>
      <c r="C82" s="20" t="s">
        <v>339</v>
      </c>
      <c r="D82" s="21" t="s">
        <v>340</v>
      </c>
      <c r="J82" s="20" t="s">
        <v>85</v>
      </c>
      <c r="L82" s="20" t="s">
        <v>136</v>
      </c>
      <c r="N82" s="29">
        <v>43698</v>
      </c>
      <c r="P82" s="29" t="str">
        <f t="shared" si="10"/>
        <v>N</v>
      </c>
      <c r="U82" s="20" t="s">
        <v>102</v>
      </c>
      <c r="V82" s="20" t="s">
        <v>43</v>
      </c>
      <c r="W82" s="20">
        <v>3</v>
      </c>
      <c r="X82" s="20">
        <v>0</v>
      </c>
    </row>
    <row r="83" spans="1:24">
      <c r="A83" s="20" t="str">
        <f t="shared" si="9"/>
        <v>Mary Henderson</v>
      </c>
      <c r="B83" s="20" t="s">
        <v>341</v>
      </c>
      <c r="C83" s="20" t="s">
        <v>342</v>
      </c>
      <c r="D83" s="21" t="s">
        <v>343</v>
      </c>
      <c r="H83" s="20" t="s">
        <v>54</v>
      </c>
      <c r="J83" s="20" t="s">
        <v>40</v>
      </c>
      <c r="L83" s="20" t="s">
        <v>100</v>
      </c>
      <c r="N83" s="29">
        <v>43698</v>
      </c>
      <c r="P83" s="29" t="str">
        <f t="shared" si="10"/>
        <v>N</v>
      </c>
    </row>
    <row r="84" spans="1:24" ht="17">
      <c r="A84" s="20" t="str">
        <f t="shared" si="9"/>
        <v>Bridget Cuddy</v>
      </c>
      <c r="B84" s="73" t="s">
        <v>344</v>
      </c>
      <c r="C84" s="20" t="s">
        <v>345</v>
      </c>
      <c r="D84" s="21" t="s">
        <v>346</v>
      </c>
      <c r="E84" s="65">
        <v>3152242456</v>
      </c>
      <c r="F84" s="77">
        <v>21</v>
      </c>
      <c r="G84" s="65" t="s">
        <v>37</v>
      </c>
      <c r="H84" s="20" t="s">
        <v>54</v>
      </c>
      <c r="J84" s="20" t="s">
        <v>64</v>
      </c>
      <c r="K84" s="20" t="s">
        <v>347</v>
      </c>
      <c r="L84" s="20" t="s">
        <v>108</v>
      </c>
      <c r="N84" s="29">
        <v>43703</v>
      </c>
      <c r="O84" s="29">
        <v>43703</v>
      </c>
      <c r="P84" s="29" t="str">
        <f t="shared" si="10"/>
        <v>Y</v>
      </c>
      <c r="Q84" s="20">
        <v>31</v>
      </c>
      <c r="R84" s="78">
        <v>8</v>
      </c>
      <c r="T84" s="20">
        <v>3</v>
      </c>
      <c r="U84" s="20" t="s">
        <v>102</v>
      </c>
      <c r="V84" s="20" t="s">
        <v>43</v>
      </c>
      <c r="W84" s="20">
        <v>1</v>
      </c>
      <c r="X84" s="20">
        <v>0</v>
      </c>
    </row>
    <row r="85" spans="1:24">
      <c r="A85" s="20" t="str">
        <f t="shared" si="9"/>
        <v>Swanand Vaidya</v>
      </c>
      <c r="B85" s="20" t="s">
        <v>348</v>
      </c>
      <c r="C85" s="20" t="s">
        <v>349</v>
      </c>
      <c r="D85" s="21" t="s">
        <v>350</v>
      </c>
      <c r="E85" s="67">
        <v>8148529900</v>
      </c>
      <c r="F85" s="77">
        <v>22</v>
      </c>
      <c r="G85" s="65" t="s">
        <v>63</v>
      </c>
      <c r="H85" s="20" t="s">
        <v>54</v>
      </c>
      <c r="J85" s="20" t="s">
        <v>64</v>
      </c>
      <c r="K85" s="20" t="s">
        <v>334</v>
      </c>
      <c r="L85" s="20" t="s">
        <v>41</v>
      </c>
      <c r="N85" s="29">
        <v>43704</v>
      </c>
      <c r="O85" s="29">
        <v>43705</v>
      </c>
      <c r="P85" s="29" t="str">
        <f t="shared" si="10"/>
        <v>Y</v>
      </c>
      <c r="Q85" s="20">
        <v>11</v>
      </c>
      <c r="R85" s="78">
        <v>4</v>
      </c>
      <c r="T85" s="20">
        <v>0</v>
      </c>
      <c r="U85" s="20" t="s">
        <v>42</v>
      </c>
      <c r="V85" s="20" t="s">
        <v>43</v>
      </c>
      <c r="X85" s="20">
        <v>0</v>
      </c>
    </row>
    <row r="86" spans="1:24">
      <c r="A86" s="20" t="str">
        <f t="shared" si="9"/>
        <v>Francis Musaraca</v>
      </c>
      <c r="B86" s="20" t="s">
        <v>351</v>
      </c>
      <c r="C86" s="20" t="s">
        <v>352</v>
      </c>
      <c r="D86" s="21" t="s">
        <v>353</v>
      </c>
      <c r="E86" s="65">
        <v>8145158491</v>
      </c>
      <c r="F86" s="77">
        <v>24</v>
      </c>
      <c r="G86" s="65" t="s">
        <v>63</v>
      </c>
      <c r="H86" s="20" t="s">
        <v>70</v>
      </c>
      <c r="J86" s="20" t="s">
        <v>85</v>
      </c>
      <c r="L86" s="20" t="s">
        <v>41</v>
      </c>
      <c r="N86" s="29">
        <v>43704</v>
      </c>
      <c r="O86" s="29">
        <v>43704</v>
      </c>
      <c r="P86" s="29" t="str">
        <f t="shared" si="10"/>
        <v>Y</v>
      </c>
      <c r="Q86" s="20">
        <v>57</v>
      </c>
      <c r="R86" s="78">
        <v>12</v>
      </c>
      <c r="T86" s="20">
        <v>9</v>
      </c>
      <c r="U86" s="20" t="s">
        <v>42</v>
      </c>
      <c r="V86" s="20" t="s">
        <v>43</v>
      </c>
    </row>
    <row r="87" spans="1:24">
      <c r="A87" s="20" t="str">
        <f t="shared" si="9"/>
        <v>Kyle James</v>
      </c>
      <c r="B87" s="20" t="s">
        <v>71</v>
      </c>
      <c r="C87" s="20" t="s">
        <v>354</v>
      </c>
      <c r="D87" s="63" t="s">
        <v>355</v>
      </c>
      <c r="E87" s="65">
        <v>8145722425</v>
      </c>
      <c r="F87" s="77">
        <v>20</v>
      </c>
      <c r="G87" s="65" t="s">
        <v>63</v>
      </c>
      <c r="H87" s="20" t="s">
        <v>54</v>
      </c>
      <c r="J87" s="20" t="s">
        <v>64</v>
      </c>
      <c r="K87" s="20" t="s">
        <v>334</v>
      </c>
      <c r="L87" s="20" t="s">
        <v>108</v>
      </c>
      <c r="N87" s="29">
        <v>43704</v>
      </c>
      <c r="O87" s="29">
        <v>43704</v>
      </c>
      <c r="P87" s="29" t="str">
        <f t="shared" si="10"/>
        <v>Y</v>
      </c>
      <c r="Q87" s="20">
        <v>26</v>
      </c>
      <c r="R87" s="78">
        <v>7</v>
      </c>
      <c r="T87" s="20">
        <v>5</v>
      </c>
      <c r="U87" s="20" t="s">
        <v>102</v>
      </c>
      <c r="V87" s="20" t="s">
        <v>43</v>
      </c>
      <c r="W87" s="20">
        <v>1</v>
      </c>
    </row>
    <row r="88" spans="1:24">
      <c r="A88" s="20" t="str">
        <f t="shared" si="9"/>
        <v>Nicarra McFarland</v>
      </c>
      <c r="B88" s="20" t="s">
        <v>356</v>
      </c>
      <c r="C88" s="20" t="s">
        <v>357</v>
      </c>
      <c r="D88" s="20" t="s">
        <v>358</v>
      </c>
      <c r="E88" s="65">
        <v>8143607139</v>
      </c>
      <c r="F88" s="77">
        <v>21</v>
      </c>
      <c r="G88" s="65" t="s">
        <v>37</v>
      </c>
      <c r="H88" s="20" t="s">
        <v>54</v>
      </c>
      <c r="J88" s="20" t="s">
        <v>64</v>
      </c>
      <c r="K88" s="20" t="s">
        <v>359</v>
      </c>
      <c r="L88" s="20" t="s">
        <v>108</v>
      </c>
      <c r="N88" s="29">
        <v>43704</v>
      </c>
      <c r="O88" s="29">
        <v>43707</v>
      </c>
      <c r="P88" s="29" t="str">
        <f t="shared" si="10"/>
        <v>Y</v>
      </c>
      <c r="Q88" s="20">
        <v>28</v>
      </c>
      <c r="R88" s="78">
        <v>8</v>
      </c>
      <c r="T88" s="20">
        <v>5</v>
      </c>
      <c r="U88" s="20" t="s">
        <v>102</v>
      </c>
      <c r="V88" s="20" t="s">
        <v>43</v>
      </c>
      <c r="W88" s="20">
        <v>1</v>
      </c>
      <c r="X88" s="20">
        <v>0</v>
      </c>
    </row>
    <row r="89" spans="1:24">
      <c r="A89" s="20" t="str">
        <f t="shared" si="9"/>
        <v>Callie O'Brien</v>
      </c>
      <c r="B89" s="20" t="s">
        <v>360</v>
      </c>
      <c r="C89" s="20" t="s">
        <v>361</v>
      </c>
      <c r="D89" s="20" t="s">
        <v>362</v>
      </c>
      <c r="E89" s="65">
        <v>5708773120</v>
      </c>
      <c r="F89" s="77">
        <v>20</v>
      </c>
      <c r="G89" s="65" t="s">
        <v>37</v>
      </c>
      <c r="J89" s="20" t="s">
        <v>64</v>
      </c>
      <c r="L89" s="20" t="s">
        <v>41</v>
      </c>
      <c r="N89" s="29">
        <v>43704</v>
      </c>
      <c r="O89" s="29">
        <v>43704</v>
      </c>
      <c r="P89" s="29" t="str">
        <f t="shared" si="10"/>
        <v>Y</v>
      </c>
      <c r="Q89" s="20">
        <v>21</v>
      </c>
      <c r="R89" s="78">
        <v>3</v>
      </c>
      <c r="T89" s="20">
        <v>9</v>
      </c>
      <c r="U89" s="20" t="s">
        <v>42</v>
      </c>
      <c r="V89" s="20" t="s">
        <v>43</v>
      </c>
    </row>
    <row r="90" spans="1:24">
      <c r="A90" s="20" t="str">
        <f t="shared" si="9"/>
        <v>Rajal Nivargi</v>
      </c>
      <c r="B90" s="20" t="s">
        <v>363</v>
      </c>
      <c r="C90" s="20" t="s">
        <v>364</v>
      </c>
      <c r="D90" s="21" t="s">
        <v>365</v>
      </c>
      <c r="E90" s="65">
        <v>8148529758</v>
      </c>
      <c r="F90" s="77">
        <v>22</v>
      </c>
      <c r="G90" s="65" t="s">
        <v>37</v>
      </c>
      <c r="H90" s="20" t="s">
        <v>70</v>
      </c>
      <c r="J90" s="20" t="s">
        <v>64</v>
      </c>
      <c r="K90" s="20" t="s">
        <v>334</v>
      </c>
      <c r="L90" s="20" t="s">
        <v>41</v>
      </c>
      <c r="O90" s="29">
        <v>43708</v>
      </c>
      <c r="P90" s="29" t="str">
        <f t="shared" si="10"/>
        <v>Y</v>
      </c>
      <c r="Q90" s="20">
        <v>44</v>
      </c>
      <c r="R90" s="20">
        <v>12</v>
      </c>
      <c r="S90" s="20">
        <v>5</v>
      </c>
      <c r="T90" s="20">
        <v>5</v>
      </c>
      <c r="U90" s="20" t="s">
        <v>42</v>
      </c>
      <c r="V90" s="20" t="s">
        <v>43</v>
      </c>
    </row>
    <row r="91" spans="1:24">
      <c r="A91" s="20" t="str">
        <f t="shared" si="9"/>
        <v>Thea Leddy</v>
      </c>
      <c r="B91" s="20" t="s">
        <v>366</v>
      </c>
      <c r="C91" s="20" t="s">
        <v>367</v>
      </c>
      <c r="D91" s="21" t="s">
        <v>368</v>
      </c>
      <c r="J91" s="20" t="s">
        <v>40</v>
      </c>
      <c r="L91" s="20" t="s">
        <v>136</v>
      </c>
      <c r="M91" s="20" t="s">
        <v>369</v>
      </c>
      <c r="N91" s="29">
        <v>43705</v>
      </c>
      <c r="P91" s="29" t="str">
        <f t="shared" si="10"/>
        <v>N</v>
      </c>
    </row>
    <row r="92" spans="1:24">
      <c r="A92" s="20" t="str">
        <f t="shared" si="9"/>
        <v>Estefany Castillo</v>
      </c>
      <c r="B92" s="20" t="s">
        <v>370</v>
      </c>
      <c r="C92" s="20" t="s">
        <v>371</v>
      </c>
      <c r="D92" s="21" t="s">
        <v>372</v>
      </c>
      <c r="J92" s="20" t="s">
        <v>85</v>
      </c>
      <c r="L92" s="20" t="s">
        <v>136</v>
      </c>
      <c r="N92" s="29">
        <v>43704</v>
      </c>
      <c r="P92" s="29" t="str">
        <f t="shared" si="10"/>
        <v>N</v>
      </c>
    </row>
    <row r="93" spans="1:24">
      <c r="A93" s="20" t="str">
        <f t="shared" si="9"/>
        <v>Morgan Leichtenberger</v>
      </c>
      <c r="B93" s="44" t="s">
        <v>373</v>
      </c>
      <c r="C93" s="20" t="s">
        <v>374</v>
      </c>
      <c r="D93" s="21" t="s">
        <v>375</v>
      </c>
      <c r="L93" s="20" t="s">
        <v>136</v>
      </c>
      <c r="N93" s="29">
        <v>43705</v>
      </c>
      <c r="P93" s="29" t="str">
        <f t="shared" si="10"/>
        <v>N</v>
      </c>
    </row>
    <row r="94" spans="1:24">
      <c r="A94" s="64" t="str">
        <f t="shared" si="9"/>
        <v>Shreyas Sundar </v>
      </c>
      <c r="B94" s="28" t="s">
        <v>376</v>
      </c>
      <c r="C94" s="20" t="s">
        <v>377</v>
      </c>
      <c r="D94" s="21" t="s">
        <v>378</v>
      </c>
      <c r="E94" s="65">
        <v>8145718533</v>
      </c>
      <c r="F94" s="77">
        <v>19</v>
      </c>
      <c r="G94" s="65" t="s">
        <v>63</v>
      </c>
      <c r="J94" s="20" t="s">
        <v>49</v>
      </c>
      <c r="L94" s="20" t="s">
        <v>41</v>
      </c>
      <c r="N94" s="29">
        <v>43722</v>
      </c>
      <c r="O94" s="29">
        <v>43722</v>
      </c>
      <c r="P94" s="29" t="str">
        <f t="shared" si="10"/>
        <v>Y</v>
      </c>
      <c r="Q94" s="20">
        <v>45</v>
      </c>
      <c r="R94" s="78">
        <v>16</v>
      </c>
      <c r="T94" s="20">
        <v>8</v>
      </c>
      <c r="U94" s="20" t="s">
        <v>42</v>
      </c>
      <c r="V94" s="20" t="s">
        <v>43</v>
      </c>
    </row>
    <row r="95" spans="1:24">
      <c r="A95" s="20" t="str">
        <f t="shared" si="9"/>
        <v>Myles Cramer</v>
      </c>
      <c r="B95" s="20" t="s">
        <v>379</v>
      </c>
      <c r="C95" s="20" t="s">
        <v>380</v>
      </c>
      <c r="D95" s="21" t="s">
        <v>381</v>
      </c>
      <c r="L95" s="20" t="s">
        <v>136</v>
      </c>
      <c r="N95" s="29">
        <v>43704</v>
      </c>
      <c r="P95" s="29" t="str">
        <f t="shared" si="10"/>
        <v>N</v>
      </c>
    </row>
    <row r="96" spans="1:24">
      <c r="A96" s="20" t="str">
        <f t="shared" ref="A96:A129" si="12">_xlfn.TEXTJOIN(" ",,B96,C96)</f>
        <v>Taylor Burk</v>
      </c>
      <c r="B96" s="20" t="s">
        <v>190</v>
      </c>
      <c r="C96" s="20" t="s">
        <v>382</v>
      </c>
      <c r="D96" s="28" t="s">
        <v>383</v>
      </c>
      <c r="E96" s="65">
        <v>6077458503</v>
      </c>
      <c r="F96" s="77">
        <v>19</v>
      </c>
      <c r="G96" s="65" t="s">
        <v>37</v>
      </c>
      <c r="H96" s="20" t="s">
        <v>54</v>
      </c>
      <c r="J96" s="20" t="s">
        <v>40</v>
      </c>
      <c r="L96" s="20" t="s">
        <v>108</v>
      </c>
      <c r="N96" s="29">
        <v>43704</v>
      </c>
      <c r="O96" s="29">
        <v>43704</v>
      </c>
      <c r="P96" s="29" t="str">
        <f t="shared" si="10"/>
        <v>Y</v>
      </c>
      <c r="Q96" s="20">
        <v>25</v>
      </c>
      <c r="R96" s="78">
        <v>5</v>
      </c>
      <c r="T96" s="20">
        <v>2</v>
      </c>
      <c r="U96" s="20" t="s">
        <v>102</v>
      </c>
      <c r="V96" s="20" t="s">
        <v>43</v>
      </c>
      <c r="W96" s="20">
        <v>1</v>
      </c>
      <c r="X96" s="20">
        <v>0</v>
      </c>
    </row>
    <row r="97" spans="1:24">
      <c r="A97" s="20" t="str">
        <f t="shared" si="12"/>
        <v>Jinying Wang</v>
      </c>
      <c r="B97" s="20" t="s">
        <v>384</v>
      </c>
      <c r="C97" s="20" t="s">
        <v>385</v>
      </c>
      <c r="D97" s="21" t="s">
        <v>386</v>
      </c>
      <c r="P97" s="29" t="str">
        <f t="shared" si="10"/>
        <v>N</v>
      </c>
    </row>
    <row r="98" spans="1:24">
      <c r="A98" s="20" t="str">
        <f t="shared" si="12"/>
        <v>Sawyer Parks</v>
      </c>
      <c r="B98" s="20" t="s">
        <v>387</v>
      </c>
      <c r="C98" s="20" t="s">
        <v>388</v>
      </c>
      <c r="D98" s="20" t="s">
        <v>389</v>
      </c>
      <c r="E98" s="66" t="s">
        <v>390</v>
      </c>
      <c r="F98" s="77">
        <v>19</v>
      </c>
      <c r="G98" s="65" t="s">
        <v>63</v>
      </c>
      <c r="H98" s="20" t="s">
        <v>54</v>
      </c>
      <c r="J98" s="20" t="s">
        <v>64</v>
      </c>
      <c r="K98" s="20" t="s">
        <v>334</v>
      </c>
      <c r="L98" s="20" t="s">
        <v>108</v>
      </c>
      <c r="O98" s="29">
        <v>43706</v>
      </c>
      <c r="P98" s="29" t="str">
        <f t="shared" ref="P98:P162" si="13">IF(O98&lt;&gt;"","Y","N")</f>
        <v>Y</v>
      </c>
      <c r="Q98" s="28">
        <v>32</v>
      </c>
      <c r="R98" s="28">
        <v>8</v>
      </c>
      <c r="S98" s="28">
        <v>4</v>
      </c>
      <c r="T98" s="28">
        <v>4</v>
      </c>
      <c r="U98" s="20" t="s">
        <v>102</v>
      </c>
      <c r="V98" s="20" t="s">
        <v>43</v>
      </c>
      <c r="W98" s="28">
        <v>1</v>
      </c>
      <c r="X98" s="28">
        <v>0</v>
      </c>
    </row>
    <row r="99" spans="1:24">
      <c r="A99" s="20" t="str">
        <f t="shared" si="12"/>
        <v>AveryAna Palermo-Phillips</v>
      </c>
      <c r="B99" s="20" t="s">
        <v>391</v>
      </c>
      <c r="C99" s="20" t="s">
        <v>392</v>
      </c>
      <c r="D99" s="20" t="s">
        <v>393</v>
      </c>
      <c r="E99" s="66">
        <v>6192610057</v>
      </c>
      <c r="F99" s="77">
        <v>19</v>
      </c>
      <c r="G99" s="65" t="s">
        <v>37</v>
      </c>
      <c r="H99" s="20" t="s">
        <v>54</v>
      </c>
      <c r="L99" s="20" t="s">
        <v>108</v>
      </c>
      <c r="O99" s="29">
        <v>43705</v>
      </c>
      <c r="P99" s="29" t="str">
        <f t="shared" si="13"/>
        <v>Y</v>
      </c>
      <c r="Q99" s="20">
        <v>18</v>
      </c>
      <c r="R99" s="78">
        <v>4</v>
      </c>
      <c r="T99" s="20">
        <v>4</v>
      </c>
      <c r="U99" s="20" t="s">
        <v>102</v>
      </c>
      <c r="V99" s="20" t="s">
        <v>43</v>
      </c>
      <c r="W99" s="20">
        <v>1</v>
      </c>
      <c r="X99" s="20">
        <v>0</v>
      </c>
    </row>
    <row r="100" spans="1:24">
      <c r="A100" s="20" t="str">
        <f t="shared" si="12"/>
        <v>Suraj Nair</v>
      </c>
      <c r="B100" s="20" t="s">
        <v>394</v>
      </c>
      <c r="C100" s="20" t="s">
        <v>395</v>
      </c>
      <c r="D100" s="20" t="s">
        <v>396</v>
      </c>
      <c r="E100" s="66">
        <v>4844675191</v>
      </c>
      <c r="F100" s="77">
        <v>21</v>
      </c>
      <c r="G100" s="65" t="s">
        <v>63</v>
      </c>
      <c r="H100" s="20" t="s">
        <v>54</v>
      </c>
      <c r="J100" s="20" t="s">
        <v>64</v>
      </c>
      <c r="K100" s="20" t="s">
        <v>397</v>
      </c>
      <c r="L100" s="20" t="s">
        <v>41</v>
      </c>
      <c r="O100" s="29">
        <v>43707</v>
      </c>
      <c r="P100" s="29" t="str">
        <f t="shared" si="13"/>
        <v>Y</v>
      </c>
      <c r="Q100" s="28">
        <v>16</v>
      </c>
      <c r="R100" s="28">
        <v>3</v>
      </c>
      <c r="S100" s="28">
        <v>3</v>
      </c>
      <c r="T100" s="28">
        <v>3</v>
      </c>
      <c r="U100" s="20" t="s">
        <v>42</v>
      </c>
      <c r="V100" s="20" t="s">
        <v>43</v>
      </c>
      <c r="W100" s="28"/>
      <c r="X100" s="28"/>
    </row>
    <row r="101" spans="1:24">
      <c r="A101" s="20" t="str">
        <f t="shared" si="12"/>
        <v>Victoria Gough</v>
      </c>
      <c r="B101" s="20" t="s">
        <v>398</v>
      </c>
      <c r="C101" s="20" t="s">
        <v>399</v>
      </c>
      <c r="D101" s="20" t="s">
        <v>400</v>
      </c>
      <c r="E101" s="65">
        <v>9782886092</v>
      </c>
      <c r="F101" s="77">
        <v>18</v>
      </c>
      <c r="G101" s="65" t="s">
        <v>37</v>
      </c>
      <c r="H101" s="20" t="s">
        <v>70</v>
      </c>
      <c r="J101" s="20" t="s">
        <v>64</v>
      </c>
      <c r="K101" s="20" t="s">
        <v>359</v>
      </c>
      <c r="L101" s="20" t="s">
        <v>41</v>
      </c>
      <c r="N101" s="29">
        <v>43704</v>
      </c>
      <c r="O101" s="29">
        <v>43705</v>
      </c>
      <c r="P101" s="29" t="str">
        <f t="shared" si="13"/>
        <v>Y</v>
      </c>
      <c r="Q101" s="20">
        <v>38</v>
      </c>
      <c r="R101" s="78">
        <v>15</v>
      </c>
      <c r="T101" s="20">
        <v>9</v>
      </c>
      <c r="U101" s="20" t="s">
        <v>42</v>
      </c>
      <c r="V101" s="20" t="s">
        <v>43</v>
      </c>
    </row>
    <row r="102" spans="1:24">
      <c r="A102" s="20" t="str">
        <f t="shared" si="12"/>
        <v>Mark Hemmerlin</v>
      </c>
      <c r="B102" s="20" t="s">
        <v>401</v>
      </c>
      <c r="C102" s="20" t="s">
        <v>402</v>
      </c>
      <c r="D102" s="21" t="s">
        <v>403</v>
      </c>
      <c r="F102" s="77">
        <v>18</v>
      </c>
      <c r="G102" s="65" t="s">
        <v>63</v>
      </c>
      <c r="L102" s="20" t="s">
        <v>136</v>
      </c>
      <c r="P102" s="29" t="str">
        <f t="shared" si="13"/>
        <v>N</v>
      </c>
    </row>
    <row r="103" spans="1:24">
      <c r="A103" s="20" t="str">
        <f t="shared" si="12"/>
        <v>Tom Lefebvre</v>
      </c>
      <c r="B103" s="20" t="s">
        <v>404</v>
      </c>
      <c r="C103" s="20" t="s">
        <v>405</v>
      </c>
      <c r="D103" s="21" t="s">
        <v>406</v>
      </c>
      <c r="E103" s="65" t="s">
        <v>407</v>
      </c>
      <c r="F103" s="77">
        <v>24</v>
      </c>
      <c r="G103" s="65" t="s">
        <v>63</v>
      </c>
      <c r="H103" s="20" t="s">
        <v>54</v>
      </c>
      <c r="J103" s="20" t="s">
        <v>64</v>
      </c>
      <c r="K103" s="20" t="s">
        <v>359</v>
      </c>
      <c r="L103" s="20" t="s">
        <v>41</v>
      </c>
      <c r="N103" s="29">
        <v>43712</v>
      </c>
      <c r="O103" s="29">
        <v>43712</v>
      </c>
      <c r="P103" s="29" t="str">
        <f t="shared" si="13"/>
        <v>Y</v>
      </c>
      <c r="Q103" s="20">
        <v>16</v>
      </c>
      <c r="R103" s="78">
        <v>4</v>
      </c>
      <c r="T103" s="20">
        <v>3</v>
      </c>
      <c r="U103" s="20" t="s">
        <v>42</v>
      </c>
      <c r="V103" s="20" t="s">
        <v>43</v>
      </c>
      <c r="W103" s="20">
        <v>1</v>
      </c>
      <c r="X103" s="20">
        <v>0</v>
      </c>
    </row>
    <row r="104" spans="1:24">
      <c r="A104" s="20" t="str">
        <f t="shared" si="12"/>
        <v>Isatu Fofanah</v>
      </c>
      <c r="B104" s="20" t="s">
        <v>408</v>
      </c>
      <c r="C104" s="20" t="s">
        <v>409</v>
      </c>
      <c r="D104" s="21" t="s">
        <v>410</v>
      </c>
      <c r="E104" s="65">
        <v>5712343124</v>
      </c>
      <c r="F104" s="77">
        <v>19</v>
      </c>
      <c r="G104" s="65" t="s">
        <v>37</v>
      </c>
      <c r="J104" s="20" t="s">
        <v>64</v>
      </c>
      <c r="L104" s="20" t="s">
        <v>108</v>
      </c>
      <c r="O104" s="29">
        <v>43719</v>
      </c>
      <c r="P104" s="29" t="str">
        <f t="shared" si="13"/>
        <v>Y</v>
      </c>
      <c r="Q104" s="20">
        <v>31</v>
      </c>
      <c r="R104" s="78">
        <v>9</v>
      </c>
      <c r="T104" s="20">
        <v>3</v>
      </c>
      <c r="U104" s="20" t="s">
        <v>411</v>
      </c>
      <c r="V104" s="20" t="s">
        <v>43</v>
      </c>
      <c r="W104" s="20">
        <v>1</v>
      </c>
      <c r="X104" s="20">
        <v>0</v>
      </c>
    </row>
    <row r="105" spans="1:24">
      <c r="A105" s="20" t="str">
        <f t="shared" si="12"/>
        <v>Courtney Crable</v>
      </c>
      <c r="B105" s="20" t="s">
        <v>412</v>
      </c>
      <c r="C105" s="20" t="s">
        <v>336</v>
      </c>
      <c r="D105" s="21" t="s">
        <v>413</v>
      </c>
      <c r="E105" s="67">
        <v>8144417766</v>
      </c>
      <c r="F105" s="77">
        <v>22</v>
      </c>
      <c r="G105" s="65" t="s">
        <v>37</v>
      </c>
      <c r="J105" s="20" t="s">
        <v>40</v>
      </c>
      <c r="L105" s="20" t="s">
        <v>41</v>
      </c>
      <c r="O105" s="29">
        <v>43760</v>
      </c>
      <c r="P105" s="29" t="str">
        <f t="shared" si="13"/>
        <v>Y</v>
      </c>
      <c r="Q105" s="20">
        <v>17</v>
      </c>
      <c r="R105" s="78">
        <v>7</v>
      </c>
      <c r="T105" s="20">
        <v>9</v>
      </c>
      <c r="U105" s="20" t="s">
        <v>42</v>
      </c>
      <c r="V105" s="20" t="s">
        <v>534</v>
      </c>
    </row>
    <row r="106" spans="1:24">
      <c r="A106" s="20" t="str">
        <f t="shared" si="12"/>
        <v>Margaret Whedon</v>
      </c>
      <c r="B106" s="20" t="s">
        <v>414</v>
      </c>
      <c r="C106" s="20" t="s">
        <v>415</v>
      </c>
      <c r="D106" s="21" t="s">
        <v>416</v>
      </c>
      <c r="F106" s="77">
        <v>31</v>
      </c>
      <c r="G106" s="65" t="s">
        <v>37</v>
      </c>
      <c r="H106" s="20" t="s">
        <v>54</v>
      </c>
      <c r="J106" s="20" t="s">
        <v>40</v>
      </c>
      <c r="L106" s="20" t="s">
        <v>136</v>
      </c>
      <c r="M106" s="20" t="s">
        <v>417</v>
      </c>
      <c r="P106" s="29" t="str">
        <f t="shared" si="13"/>
        <v>N</v>
      </c>
      <c r="W106" s="20">
        <v>12</v>
      </c>
      <c r="X106" s="20">
        <v>0</v>
      </c>
    </row>
    <row r="107" spans="1:24">
      <c r="A107" s="20" t="str">
        <f t="shared" si="12"/>
        <v>Aspen Ulma</v>
      </c>
      <c r="B107" s="20" t="s">
        <v>418</v>
      </c>
      <c r="C107" s="20" t="s">
        <v>419</v>
      </c>
      <c r="D107" s="61" t="s">
        <v>420</v>
      </c>
      <c r="E107" s="65">
        <v>5202569586</v>
      </c>
      <c r="F107" s="77">
        <v>18</v>
      </c>
      <c r="G107" s="65" t="s">
        <v>37</v>
      </c>
      <c r="H107" s="20" t="s">
        <v>38</v>
      </c>
      <c r="J107" s="20" t="s">
        <v>64</v>
      </c>
      <c r="L107" s="20" t="s">
        <v>41</v>
      </c>
      <c r="N107" s="29">
        <v>43713</v>
      </c>
      <c r="O107" s="29">
        <v>43713</v>
      </c>
      <c r="P107" s="29" t="str">
        <f t="shared" si="13"/>
        <v>Y</v>
      </c>
      <c r="Q107" s="20">
        <v>40</v>
      </c>
      <c r="R107" s="78">
        <v>8</v>
      </c>
      <c r="T107" s="20">
        <v>10</v>
      </c>
      <c r="U107" s="20" t="s">
        <v>42</v>
      </c>
      <c r="V107" s="20" t="s">
        <v>43</v>
      </c>
    </row>
    <row r="108" spans="1:24">
      <c r="A108" s="80" t="str">
        <f t="shared" si="12"/>
        <v>Adanna Nedd</v>
      </c>
      <c r="B108" s="20" t="s">
        <v>421</v>
      </c>
      <c r="C108" s="20" t="s">
        <v>422</v>
      </c>
      <c r="D108" s="61" t="s">
        <v>423</v>
      </c>
      <c r="E108" s="65">
        <v>3018328817</v>
      </c>
      <c r="F108" s="77">
        <v>20</v>
      </c>
      <c r="G108" s="65" t="s">
        <v>37</v>
      </c>
      <c r="J108" s="20" t="s">
        <v>64</v>
      </c>
      <c r="K108" s="20" t="s">
        <v>424</v>
      </c>
      <c r="L108" s="20" t="s">
        <v>108</v>
      </c>
      <c r="N108" s="29">
        <v>43712</v>
      </c>
      <c r="O108" s="29">
        <v>43712</v>
      </c>
      <c r="P108" s="29" t="str">
        <f t="shared" si="13"/>
        <v>Y</v>
      </c>
      <c r="Q108" s="20">
        <v>45</v>
      </c>
      <c r="R108" s="78">
        <v>10</v>
      </c>
      <c r="T108" s="20">
        <v>6</v>
      </c>
      <c r="U108" s="20" t="s">
        <v>102</v>
      </c>
      <c r="V108" s="20" t="s">
        <v>43</v>
      </c>
      <c r="W108" s="20">
        <v>4</v>
      </c>
      <c r="X108" s="20">
        <v>0</v>
      </c>
    </row>
    <row r="109" spans="1:24">
      <c r="A109" s="20" t="str">
        <f t="shared" si="12"/>
        <v>Mary Henderson</v>
      </c>
      <c r="B109" s="20" t="s">
        <v>341</v>
      </c>
      <c r="C109" s="20" t="s">
        <v>342</v>
      </c>
      <c r="D109" s="21" t="s">
        <v>343</v>
      </c>
      <c r="H109" s="20" t="s">
        <v>54</v>
      </c>
      <c r="J109" s="20" t="s">
        <v>40</v>
      </c>
      <c r="L109" s="20" t="s">
        <v>136</v>
      </c>
      <c r="N109" s="29">
        <v>43698</v>
      </c>
      <c r="P109" s="29" t="str">
        <f t="shared" si="13"/>
        <v>N</v>
      </c>
      <c r="W109" s="20">
        <v>3</v>
      </c>
      <c r="X109" s="20">
        <v>0</v>
      </c>
    </row>
    <row r="110" spans="1:24">
      <c r="A110" s="20" t="str">
        <f t="shared" si="12"/>
        <v>Pranjali Yadav</v>
      </c>
      <c r="B110" s="20" t="s">
        <v>425</v>
      </c>
      <c r="C110" s="20" t="s">
        <v>426</v>
      </c>
      <c r="D110" s="21" t="s">
        <v>427</v>
      </c>
      <c r="E110" s="65" t="s">
        <v>428</v>
      </c>
      <c r="F110" s="77">
        <v>21</v>
      </c>
      <c r="G110" s="65" t="s">
        <v>37</v>
      </c>
      <c r="J110" s="20" t="s">
        <v>40</v>
      </c>
      <c r="L110" s="20" t="s">
        <v>108</v>
      </c>
      <c r="N110" s="29">
        <v>43717</v>
      </c>
      <c r="O110" s="29">
        <v>43718</v>
      </c>
      <c r="P110" s="29" t="str">
        <f t="shared" si="13"/>
        <v>Y</v>
      </c>
      <c r="Q110" s="20">
        <v>30</v>
      </c>
      <c r="R110" s="78">
        <v>5</v>
      </c>
      <c r="T110" s="20">
        <v>4</v>
      </c>
      <c r="U110" s="20" t="s">
        <v>102</v>
      </c>
      <c r="V110" s="20" t="s">
        <v>43</v>
      </c>
      <c r="W110" s="20">
        <v>1</v>
      </c>
      <c r="X110" s="20">
        <v>0</v>
      </c>
    </row>
    <row r="111" spans="1:24">
      <c r="A111" s="20" t="str">
        <f t="shared" si="12"/>
        <v>Jailyn Quinerly</v>
      </c>
      <c r="B111" s="20" t="s">
        <v>429</v>
      </c>
      <c r="C111" s="20" t="s">
        <v>430</v>
      </c>
      <c r="D111" s="21" t="s">
        <v>431</v>
      </c>
      <c r="E111" s="65">
        <v>4128773082</v>
      </c>
      <c r="F111" s="77">
        <v>21</v>
      </c>
      <c r="G111" s="65" t="s">
        <v>37</v>
      </c>
      <c r="H111" s="20" t="s">
        <v>54</v>
      </c>
      <c r="J111" s="20" t="s">
        <v>64</v>
      </c>
      <c r="L111" s="20" t="s">
        <v>108</v>
      </c>
      <c r="N111" s="29">
        <v>43717</v>
      </c>
      <c r="O111" s="29">
        <v>43717</v>
      </c>
      <c r="P111" s="29" t="str">
        <f t="shared" si="13"/>
        <v>Y</v>
      </c>
      <c r="Q111" s="20">
        <v>33</v>
      </c>
      <c r="R111" s="78">
        <v>7</v>
      </c>
      <c r="T111" s="20">
        <v>4</v>
      </c>
      <c r="U111" s="20" t="s">
        <v>102</v>
      </c>
      <c r="V111" s="20" t="s">
        <v>43</v>
      </c>
      <c r="W111" s="20">
        <v>1</v>
      </c>
      <c r="X111" s="20">
        <v>0</v>
      </c>
    </row>
    <row r="112" spans="1:24">
      <c r="A112" s="20" t="str">
        <f t="shared" si="12"/>
        <v>Julie Wu</v>
      </c>
      <c r="B112" s="20" t="s">
        <v>432</v>
      </c>
      <c r="C112" s="20" t="s">
        <v>433</v>
      </c>
      <c r="D112" s="21" t="s">
        <v>434</v>
      </c>
      <c r="F112" s="77">
        <v>18</v>
      </c>
      <c r="G112" s="65" t="s">
        <v>37</v>
      </c>
      <c r="J112" s="20" t="s">
        <v>40</v>
      </c>
      <c r="L112" s="20" t="s">
        <v>108</v>
      </c>
      <c r="M112" s="20" t="s">
        <v>369</v>
      </c>
      <c r="N112" s="29">
        <v>43717</v>
      </c>
      <c r="O112" s="29">
        <v>43718</v>
      </c>
      <c r="P112" s="29" t="str">
        <f t="shared" si="13"/>
        <v>Y</v>
      </c>
      <c r="Q112" s="20">
        <v>42</v>
      </c>
      <c r="R112" s="78">
        <v>9</v>
      </c>
      <c r="T112" s="20">
        <v>3</v>
      </c>
      <c r="U112" s="20" t="s">
        <v>102</v>
      </c>
      <c r="V112" s="20" t="s">
        <v>43</v>
      </c>
      <c r="W112" s="20">
        <v>1</v>
      </c>
      <c r="X112" s="20">
        <v>0</v>
      </c>
    </row>
    <row r="113" spans="1:24">
      <c r="A113" s="20" t="str">
        <f t="shared" si="12"/>
        <v>Mikailah Morrison</v>
      </c>
      <c r="B113" s="20" t="s">
        <v>435</v>
      </c>
      <c r="C113" s="20" t="s">
        <v>436</v>
      </c>
      <c r="D113" s="21" t="s">
        <v>437</v>
      </c>
      <c r="E113" s="65" t="s">
        <v>438</v>
      </c>
      <c r="F113" s="77">
        <v>18</v>
      </c>
      <c r="G113" s="65" t="s">
        <v>37</v>
      </c>
      <c r="H113" s="20" t="s">
        <v>38</v>
      </c>
      <c r="J113" s="20" t="s">
        <v>64</v>
      </c>
      <c r="L113" s="20" t="s">
        <v>41</v>
      </c>
      <c r="N113" s="29">
        <v>43718</v>
      </c>
      <c r="O113" s="29">
        <v>43718</v>
      </c>
      <c r="P113" s="29" t="str">
        <f t="shared" si="13"/>
        <v>Y</v>
      </c>
      <c r="Q113" s="20">
        <v>21</v>
      </c>
      <c r="R113" s="78">
        <v>6</v>
      </c>
      <c r="T113" s="20">
        <v>9</v>
      </c>
      <c r="U113" s="20" t="s">
        <v>42</v>
      </c>
      <c r="V113" s="20" t="s">
        <v>43</v>
      </c>
    </row>
    <row r="114" spans="1:24">
      <c r="A114" s="20" t="str">
        <f t="shared" si="12"/>
        <v>Deja Wynn</v>
      </c>
      <c r="B114" s="20" t="s">
        <v>439</v>
      </c>
      <c r="C114" s="20" t="s">
        <v>440</v>
      </c>
      <c r="D114" s="21" t="s">
        <v>441</v>
      </c>
      <c r="E114" s="65" t="s">
        <v>442</v>
      </c>
      <c r="L114" s="20" t="s">
        <v>136</v>
      </c>
      <c r="M114" s="20" t="s">
        <v>443</v>
      </c>
      <c r="N114" s="29">
        <v>43718</v>
      </c>
      <c r="P114" s="29" t="str">
        <f t="shared" si="13"/>
        <v>N</v>
      </c>
    </row>
    <row r="115" spans="1:24">
      <c r="A115" s="20" t="str">
        <f t="shared" si="12"/>
        <v>Aaliyah Wyatt</v>
      </c>
      <c r="B115" s="20" t="s">
        <v>444</v>
      </c>
      <c r="C115" s="20" t="s">
        <v>445</v>
      </c>
      <c r="D115" s="21" t="s">
        <v>446</v>
      </c>
      <c r="E115" s="65">
        <v>7173989340</v>
      </c>
      <c r="F115" s="77">
        <v>20</v>
      </c>
      <c r="G115" s="65" t="s">
        <v>37</v>
      </c>
      <c r="J115" s="20" t="s">
        <v>326</v>
      </c>
      <c r="L115" s="20" t="s">
        <v>108</v>
      </c>
      <c r="N115" s="29">
        <v>43718</v>
      </c>
      <c r="O115" s="29">
        <v>43718</v>
      </c>
      <c r="P115" s="29" t="str">
        <f t="shared" si="13"/>
        <v>Y</v>
      </c>
      <c r="Q115" s="20">
        <v>37</v>
      </c>
      <c r="R115" s="78">
        <v>9</v>
      </c>
      <c r="T115" s="20">
        <v>11</v>
      </c>
      <c r="U115" s="20" t="s">
        <v>42</v>
      </c>
      <c r="V115" s="20" t="s">
        <v>43</v>
      </c>
    </row>
    <row r="116" spans="1:24">
      <c r="A116" s="20" t="str">
        <f t="shared" si="12"/>
        <v>Murray Imani</v>
      </c>
      <c r="B116" s="20" t="s">
        <v>447</v>
      </c>
      <c r="C116" s="20" t="s">
        <v>448</v>
      </c>
      <c r="D116" s="21" t="s">
        <v>449</v>
      </c>
      <c r="E116" s="65">
        <v>2674244778</v>
      </c>
      <c r="F116" s="77">
        <v>20</v>
      </c>
      <c r="G116" s="65" t="s">
        <v>37</v>
      </c>
      <c r="J116" s="20" t="s">
        <v>64</v>
      </c>
      <c r="L116" s="20" t="s">
        <v>41</v>
      </c>
      <c r="N116" s="29">
        <v>43718</v>
      </c>
      <c r="O116" s="29">
        <v>43718</v>
      </c>
      <c r="P116" s="29" t="str">
        <f t="shared" si="13"/>
        <v>Y</v>
      </c>
      <c r="Q116" s="20">
        <v>44</v>
      </c>
      <c r="R116" s="78">
        <v>14</v>
      </c>
      <c r="T116" s="20">
        <v>7</v>
      </c>
      <c r="U116" s="20" t="s">
        <v>42</v>
      </c>
      <c r="V116" s="20" t="s">
        <v>43</v>
      </c>
    </row>
    <row r="117" spans="1:24">
      <c r="A117" s="81" t="str">
        <f t="shared" si="12"/>
        <v>Stan Njango</v>
      </c>
      <c r="B117" s="20" t="s">
        <v>450</v>
      </c>
      <c r="C117" s="20" t="s">
        <v>451</v>
      </c>
      <c r="D117" s="20" t="s">
        <v>452</v>
      </c>
      <c r="E117" s="65">
        <v>15705209268</v>
      </c>
      <c r="F117" s="77">
        <v>20</v>
      </c>
      <c r="G117" s="65" t="s">
        <v>63</v>
      </c>
      <c r="J117" s="20" t="s">
        <v>64</v>
      </c>
      <c r="L117" s="20" t="s">
        <v>108</v>
      </c>
      <c r="M117" s="20" t="s">
        <v>453</v>
      </c>
      <c r="N117" s="29">
        <v>43718</v>
      </c>
      <c r="O117" s="29">
        <v>43718</v>
      </c>
      <c r="P117" s="29" t="str">
        <f t="shared" si="13"/>
        <v>Y</v>
      </c>
      <c r="Q117" s="20">
        <v>32</v>
      </c>
      <c r="R117" s="78">
        <v>12</v>
      </c>
      <c r="T117" s="20">
        <v>9</v>
      </c>
      <c r="V117" s="20" t="s">
        <v>43</v>
      </c>
    </row>
    <row r="118" spans="1:24">
      <c r="A118" s="20" t="str">
        <f t="shared" si="12"/>
        <v>Kyla Sewell</v>
      </c>
      <c r="B118" s="20" t="s">
        <v>454</v>
      </c>
      <c r="C118" s="20" t="s">
        <v>455</v>
      </c>
      <c r="D118" s="21" t="s">
        <v>456</v>
      </c>
      <c r="E118" s="65">
        <v>9177144776</v>
      </c>
      <c r="F118" s="77">
        <v>18</v>
      </c>
      <c r="G118" s="65" t="s">
        <v>37</v>
      </c>
      <c r="H118" s="20" t="s">
        <v>70</v>
      </c>
      <c r="J118" s="20" t="s">
        <v>64</v>
      </c>
      <c r="L118" s="20" t="s">
        <v>41</v>
      </c>
      <c r="N118" s="29">
        <v>43718</v>
      </c>
      <c r="O118" s="29">
        <v>43718</v>
      </c>
      <c r="P118" s="29" t="str">
        <f t="shared" si="13"/>
        <v>Y</v>
      </c>
      <c r="Q118" s="20">
        <v>50</v>
      </c>
      <c r="R118" s="78">
        <v>12</v>
      </c>
      <c r="T118" s="20">
        <v>8</v>
      </c>
      <c r="U118" s="20" t="s">
        <v>42</v>
      </c>
      <c r="V118" s="20" t="s">
        <v>43</v>
      </c>
    </row>
    <row r="119" spans="1:24">
      <c r="A119" s="20" t="str">
        <f t="shared" si="12"/>
        <v>Vincent Mariani</v>
      </c>
      <c r="B119" s="20" t="s">
        <v>457</v>
      </c>
      <c r="C119" s="20" t="s">
        <v>458</v>
      </c>
      <c r="D119" s="21" t="s">
        <v>459</v>
      </c>
      <c r="E119" s="65">
        <v>2672618386</v>
      </c>
      <c r="F119" s="77">
        <v>18</v>
      </c>
      <c r="G119" s="65" t="s">
        <v>63</v>
      </c>
      <c r="J119" s="20" t="s">
        <v>64</v>
      </c>
      <c r="L119" s="20" t="s">
        <v>108</v>
      </c>
      <c r="N119" s="29">
        <v>43718</v>
      </c>
      <c r="O119" s="29">
        <v>43718</v>
      </c>
      <c r="P119" s="29" t="str">
        <f t="shared" si="13"/>
        <v>Y</v>
      </c>
      <c r="Q119" s="20">
        <v>34</v>
      </c>
      <c r="R119" s="78">
        <v>8</v>
      </c>
      <c r="T119" s="20">
        <v>6</v>
      </c>
      <c r="U119" s="20" t="s">
        <v>102</v>
      </c>
      <c r="V119" s="20" t="s">
        <v>43</v>
      </c>
      <c r="W119" s="20" t="s">
        <v>460</v>
      </c>
      <c r="X119" s="20">
        <v>0</v>
      </c>
    </row>
    <row r="120" spans="1:24">
      <c r="A120" s="20" t="str">
        <f t="shared" si="12"/>
        <v>Wylyn McCullough</v>
      </c>
      <c r="B120" s="20" t="s">
        <v>461</v>
      </c>
      <c r="C120" s="20" t="s">
        <v>462</v>
      </c>
      <c r="D120" s="21" t="s">
        <v>463</v>
      </c>
      <c r="E120" s="65">
        <v>8143571714</v>
      </c>
      <c r="F120" s="77">
        <v>20</v>
      </c>
      <c r="G120" s="65" t="s">
        <v>37</v>
      </c>
      <c r="H120" s="20" t="s">
        <v>54</v>
      </c>
      <c r="J120" s="20" t="s">
        <v>64</v>
      </c>
      <c r="L120" s="20" t="s">
        <v>108</v>
      </c>
      <c r="N120" s="29">
        <v>43718</v>
      </c>
      <c r="O120" s="29">
        <v>43718</v>
      </c>
      <c r="P120" s="29" t="str">
        <f t="shared" si="13"/>
        <v>Y</v>
      </c>
      <c r="Q120" s="20">
        <v>32</v>
      </c>
      <c r="R120" s="78">
        <v>9</v>
      </c>
      <c r="T120" s="20">
        <v>6</v>
      </c>
      <c r="U120" s="20" t="s">
        <v>102</v>
      </c>
      <c r="V120" s="20" t="s">
        <v>43</v>
      </c>
    </row>
    <row r="121" spans="1:24">
      <c r="A121" s="20" t="str">
        <f t="shared" si="12"/>
        <v>Tyra Dubose</v>
      </c>
      <c r="B121" s="20" t="s">
        <v>464</v>
      </c>
      <c r="C121" s="20" t="s">
        <v>465</v>
      </c>
      <c r="D121" s="21" t="s">
        <v>466</v>
      </c>
      <c r="E121" s="65">
        <v>4125136784</v>
      </c>
      <c r="F121" s="77">
        <v>21</v>
      </c>
      <c r="G121" s="65" t="s">
        <v>37</v>
      </c>
      <c r="H121" s="20" t="s">
        <v>70</v>
      </c>
      <c r="J121" s="20" t="s">
        <v>64</v>
      </c>
      <c r="L121" s="20" t="s">
        <v>41</v>
      </c>
      <c r="N121" s="29">
        <v>43718</v>
      </c>
      <c r="O121" s="29">
        <v>43718</v>
      </c>
      <c r="P121" s="29" t="str">
        <f t="shared" si="13"/>
        <v>Y</v>
      </c>
      <c r="Q121" s="20">
        <v>51</v>
      </c>
      <c r="R121" s="78">
        <v>13</v>
      </c>
      <c r="T121" s="20">
        <v>10</v>
      </c>
      <c r="U121" s="20" t="s">
        <v>42</v>
      </c>
      <c r="V121" s="20" t="s">
        <v>43</v>
      </c>
    </row>
    <row r="122" spans="1:24">
      <c r="A122" s="64" t="str">
        <f t="shared" si="12"/>
        <v>Paul John Savas</v>
      </c>
      <c r="B122" s="20" t="s">
        <v>467</v>
      </c>
      <c r="C122" s="20" t="s">
        <v>468</v>
      </c>
      <c r="D122" s="21" t="s">
        <v>469</v>
      </c>
      <c r="E122" s="65">
        <v>9179600419</v>
      </c>
      <c r="F122" s="77">
        <v>18</v>
      </c>
      <c r="L122" s="20" t="s">
        <v>108</v>
      </c>
      <c r="M122" s="20" t="s">
        <v>470</v>
      </c>
      <c r="N122" s="29">
        <v>43718</v>
      </c>
      <c r="O122" s="29">
        <v>43718</v>
      </c>
      <c r="P122" s="29" t="str">
        <f t="shared" si="13"/>
        <v>Y</v>
      </c>
      <c r="Q122" s="20">
        <v>20</v>
      </c>
      <c r="R122" s="78">
        <v>3</v>
      </c>
      <c r="T122" s="20">
        <v>7</v>
      </c>
      <c r="U122" s="20" t="s">
        <v>102</v>
      </c>
      <c r="V122" s="20" t="s">
        <v>43</v>
      </c>
      <c r="W122" s="20">
        <v>3</v>
      </c>
      <c r="X122" s="20">
        <v>0</v>
      </c>
    </row>
    <row r="123" spans="1:24">
      <c r="A123" s="64" t="str">
        <f t="shared" si="12"/>
        <v>Anna Piotti</v>
      </c>
      <c r="B123" s="20" t="s">
        <v>471</v>
      </c>
      <c r="C123" s="20" t="s">
        <v>472</v>
      </c>
      <c r="D123" s="21" t="s">
        <v>473</v>
      </c>
      <c r="E123" s="65">
        <v>2073231216</v>
      </c>
      <c r="F123" s="77">
        <v>25</v>
      </c>
      <c r="G123" s="65" t="s">
        <v>37</v>
      </c>
      <c r="J123" s="20" t="s">
        <v>64</v>
      </c>
      <c r="K123" s="20" t="s">
        <v>315</v>
      </c>
      <c r="L123" s="20" t="s">
        <v>108</v>
      </c>
      <c r="N123" s="29">
        <v>43718</v>
      </c>
      <c r="O123" s="29">
        <v>43721</v>
      </c>
      <c r="P123" s="29" t="str">
        <f t="shared" si="13"/>
        <v>Y</v>
      </c>
      <c r="Q123" s="20">
        <v>45</v>
      </c>
      <c r="R123" s="78">
        <v>11</v>
      </c>
      <c r="T123" s="20">
        <v>6</v>
      </c>
      <c r="U123" s="20" t="s">
        <v>102</v>
      </c>
      <c r="V123" s="20" t="s">
        <v>43</v>
      </c>
      <c r="W123" s="20">
        <v>1</v>
      </c>
      <c r="X123" s="20">
        <v>0</v>
      </c>
    </row>
    <row r="124" spans="1:24">
      <c r="A124" s="20" t="str">
        <f t="shared" si="12"/>
        <v>Anjelica</v>
      </c>
      <c r="B124" s="20" t="s">
        <v>474</v>
      </c>
      <c r="E124" s="65" t="s">
        <v>475</v>
      </c>
      <c r="P124" s="29" t="str">
        <f t="shared" si="13"/>
        <v>N</v>
      </c>
    </row>
    <row r="125" spans="1:24">
      <c r="A125" s="81" t="str">
        <f t="shared" si="12"/>
        <v>Yahya Barry</v>
      </c>
      <c r="B125" s="20" t="s">
        <v>476</v>
      </c>
      <c r="C125" s="20" t="s">
        <v>477</v>
      </c>
      <c r="D125" s="21" t="s">
        <v>478</v>
      </c>
      <c r="E125" s="65">
        <v>2404649210</v>
      </c>
      <c r="F125" s="77">
        <v>19</v>
      </c>
      <c r="G125" s="65" t="s">
        <v>63</v>
      </c>
      <c r="J125" s="20" t="s">
        <v>64</v>
      </c>
      <c r="L125" s="20" t="s">
        <v>108</v>
      </c>
      <c r="M125" s="20" t="s">
        <v>479</v>
      </c>
      <c r="N125" s="29">
        <v>43724</v>
      </c>
      <c r="P125" s="29" t="str">
        <f t="shared" si="13"/>
        <v>N</v>
      </c>
      <c r="Q125" s="20">
        <v>20</v>
      </c>
      <c r="R125" s="78">
        <v>6</v>
      </c>
      <c r="T125" s="20">
        <v>10</v>
      </c>
    </row>
    <row r="126" spans="1:24">
      <c r="A126" s="64" t="str">
        <f t="shared" si="12"/>
        <v>Jad Abou Samra</v>
      </c>
      <c r="B126" s="20" t="s">
        <v>480</v>
      </c>
      <c r="C126" s="20" t="s">
        <v>481</v>
      </c>
      <c r="D126" s="21" t="s">
        <v>482</v>
      </c>
      <c r="E126" s="65">
        <v>4848090919</v>
      </c>
      <c r="F126" s="77">
        <v>19</v>
      </c>
      <c r="G126" s="65" t="s">
        <v>63</v>
      </c>
      <c r="J126" s="20" t="s">
        <v>64</v>
      </c>
      <c r="K126" s="20" t="s">
        <v>483</v>
      </c>
      <c r="L126" s="20" t="s">
        <v>108</v>
      </c>
      <c r="N126" s="29">
        <v>43724</v>
      </c>
      <c r="O126" s="29">
        <v>43724</v>
      </c>
      <c r="P126" s="29" t="str">
        <f t="shared" si="13"/>
        <v>Y</v>
      </c>
      <c r="Q126" s="20">
        <v>41</v>
      </c>
      <c r="R126" s="78">
        <v>11</v>
      </c>
      <c r="T126" s="20">
        <v>8</v>
      </c>
      <c r="U126" s="20" t="s">
        <v>42</v>
      </c>
      <c r="V126" s="20" t="s">
        <v>43</v>
      </c>
    </row>
    <row r="127" spans="1:24">
      <c r="A127" s="82" t="str">
        <f t="shared" si="12"/>
        <v>Chenyin Zhang</v>
      </c>
      <c r="B127" s="20" t="s">
        <v>484</v>
      </c>
      <c r="C127" s="20" t="s">
        <v>485</v>
      </c>
      <c r="D127" s="21" t="s">
        <v>486</v>
      </c>
      <c r="E127" s="65">
        <v>9179741232</v>
      </c>
      <c r="F127" s="77">
        <v>21</v>
      </c>
      <c r="G127" s="65" t="s">
        <v>63</v>
      </c>
      <c r="J127" s="20" t="s">
        <v>64</v>
      </c>
      <c r="K127" s="20" t="s">
        <v>487</v>
      </c>
      <c r="L127" s="20" t="s">
        <v>41</v>
      </c>
      <c r="N127" s="29">
        <v>43724</v>
      </c>
      <c r="O127" s="29">
        <v>43724</v>
      </c>
      <c r="P127" s="29" t="str">
        <f t="shared" si="13"/>
        <v>Y</v>
      </c>
      <c r="Q127" s="20">
        <v>8</v>
      </c>
      <c r="R127" s="78">
        <v>0</v>
      </c>
      <c r="T127" s="20">
        <v>5</v>
      </c>
      <c r="U127" s="20" t="s">
        <v>411</v>
      </c>
      <c r="V127" s="20" t="s">
        <v>43</v>
      </c>
      <c r="W127" s="20">
        <v>1</v>
      </c>
      <c r="X127" s="83"/>
    </row>
    <row r="128" spans="1:24">
      <c r="A128" s="64" t="str">
        <f t="shared" si="12"/>
        <v>Vadim Tanygin</v>
      </c>
      <c r="B128" s="20" t="s">
        <v>488</v>
      </c>
      <c r="C128" s="20" t="s">
        <v>489</v>
      </c>
      <c r="D128" s="21" t="s">
        <v>490</v>
      </c>
      <c r="E128" s="65">
        <v>4844015032</v>
      </c>
      <c r="F128" s="77">
        <v>25</v>
      </c>
      <c r="G128" s="65" t="s">
        <v>63</v>
      </c>
      <c r="J128" s="20" t="s">
        <v>64</v>
      </c>
      <c r="K128" s="20" t="s">
        <v>319</v>
      </c>
      <c r="L128" s="20" t="s">
        <v>41</v>
      </c>
      <c r="N128" s="29">
        <v>43724</v>
      </c>
      <c r="O128" s="29">
        <v>43724</v>
      </c>
      <c r="P128" s="29" t="str">
        <f t="shared" si="13"/>
        <v>Y</v>
      </c>
      <c r="Q128" s="20">
        <v>23</v>
      </c>
      <c r="R128" s="78">
        <v>6</v>
      </c>
      <c r="T128" s="20">
        <v>7</v>
      </c>
      <c r="U128" s="20" t="s">
        <v>42</v>
      </c>
      <c r="V128" s="20" t="s">
        <v>43</v>
      </c>
    </row>
    <row r="129" spans="1:24">
      <c r="A129" s="64" t="str">
        <f t="shared" si="12"/>
        <v>Christina Huang</v>
      </c>
      <c r="B129" s="20" t="s">
        <v>97</v>
      </c>
      <c r="C129" s="20" t="s">
        <v>491</v>
      </c>
      <c r="D129" s="21" t="s">
        <v>492</v>
      </c>
      <c r="E129" s="65">
        <v>3144229228</v>
      </c>
      <c r="F129" s="77">
        <v>18</v>
      </c>
      <c r="G129" s="65" t="s">
        <v>37</v>
      </c>
      <c r="J129" s="20" t="s">
        <v>493</v>
      </c>
      <c r="L129" s="20" t="s">
        <v>108</v>
      </c>
      <c r="N129" s="29">
        <v>43724</v>
      </c>
      <c r="O129" s="29">
        <v>43724</v>
      </c>
      <c r="P129" s="29" t="str">
        <f t="shared" si="13"/>
        <v>Y</v>
      </c>
      <c r="Q129" s="20">
        <v>27</v>
      </c>
      <c r="R129" s="78">
        <v>6</v>
      </c>
      <c r="T129" s="20">
        <v>5</v>
      </c>
      <c r="U129" s="20" t="s">
        <v>411</v>
      </c>
      <c r="V129" s="20" t="s">
        <v>43</v>
      </c>
      <c r="W129" s="20">
        <v>1</v>
      </c>
      <c r="X129" s="20">
        <v>0</v>
      </c>
    </row>
    <row r="130" spans="1:24">
      <c r="A130" s="84" t="str">
        <f>_xlfn.TEXTJOIN(" ",,B130,C130)</f>
        <v>Chris Rodas</v>
      </c>
      <c r="B130" s="20" t="s">
        <v>494</v>
      </c>
      <c r="C130" s="20" t="s">
        <v>495</v>
      </c>
      <c r="D130" s="21" t="s">
        <v>496</v>
      </c>
      <c r="E130" s="65">
        <v>2157671753</v>
      </c>
      <c r="F130" s="77">
        <v>19</v>
      </c>
      <c r="G130" s="65" t="s">
        <v>63</v>
      </c>
      <c r="J130" s="20" t="s">
        <v>493</v>
      </c>
      <c r="L130" s="20" t="s">
        <v>108</v>
      </c>
      <c r="M130" s="20" t="s">
        <v>470</v>
      </c>
      <c r="O130" s="29">
        <v>43724</v>
      </c>
      <c r="P130" s="29" t="str">
        <f t="shared" si="13"/>
        <v>Y</v>
      </c>
      <c r="Q130" s="20">
        <v>4</v>
      </c>
      <c r="R130" s="78">
        <v>1</v>
      </c>
      <c r="T130" s="20">
        <v>5</v>
      </c>
      <c r="V130" s="20" t="s">
        <v>43</v>
      </c>
    </row>
    <row r="131" spans="1:24">
      <c r="A131" s="64" t="str">
        <f>_xlfn.TEXTJOIN(" ",,B131,C131)</f>
        <v>Cassandra Everly</v>
      </c>
      <c r="B131" s="20" t="s">
        <v>497</v>
      </c>
      <c r="C131" s="20" t="s">
        <v>498</v>
      </c>
      <c r="D131" s="28" t="s">
        <v>499</v>
      </c>
      <c r="E131" s="65">
        <v>7173191057</v>
      </c>
      <c r="F131" s="77">
        <v>18</v>
      </c>
      <c r="G131" s="65" t="s">
        <v>37</v>
      </c>
      <c r="J131" s="20" t="s">
        <v>493</v>
      </c>
      <c r="L131" s="20" t="s">
        <v>108</v>
      </c>
      <c r="O131" s="29">
        <v>43724</v>
      </c>
      <c r="P131" s="29" t="str">
        <f t="shared" si="13"/>
        <v>Y</v>
      </c>
      <c r="Q131" s="20">
        <v>31</v>
      </c>
      <c r="R131" s="78">
        <v>10</v>
      </c>
      <c r="T131" s="20">
        <v>4</v>
      </c>
      <c r="U131" s="20" t="s">
        <v>411</v>
      </c>
      <c r="V131" s="20" t="s">
        <v>43</v>
      </c>
      <c r="W131" s="20">
        <v>1</v>
      </c>
      <c r="X131" s="20">
        <v>0</v>
      </c>
    </row>
    <row r="132" spans="1:24">
      <c r="A132" s="64" t="str">
        <f>_xlfn.TEXTJOIN(" ",,B132,C132)</f>
        <v>Cassandra Clark</v>
      </c>
      <c r="B132" s="20" t="s">
        <v>497</v>
      </c>
      <c r="C132" s="20" t="s">
        <v>252</v>
      </c>
      <c r="D132" s="28" t="s">
        <v>500</v>
      </c>
      <c r="E132" s="65">
        <v>5702382936</v>
      </c>
      <c r="F132" s="77">
        <v>18</v>
      </c>
      <c r="G132" s="65" t="s">
        <v>37</v>
      </c>
      <c r="J132" s="20" t="s">
        <v>493</v>
      </c>
      <c r="L132" s="20" t="s">
        <v>108</v>
      </c>
      <c r="M132" s="20" t="s">
        <v>501</v>
      </c>
      <c r="O132" s="29">
        <v>43724</v>
      </c>
      <c r="P132" s="29" t="str">
        <f t="shared" si="13"/>
        <v>Y</v>
      </c>
      <c r="Q132" s="20">
        <v>40</v>
      </c>
      <c r="R132" s="78">
        <v>8</v>
      </c>
      <c r="T132" s="20">
        <v>9</v>
      </c>
      <c r="U132" s="20" t="s">
        <v>411</v>
      </c>
      <c r="V132" s="20" t="s">
        <v>43</v>
      </c>
      <c r="W132" s="20">
        <v>3</v>
      </c>
      <c r="X132" s="20">
        <v>0</v>
      </c>
    </row>
    <row r="133" spans="1:24">
      <c r="A133" s="64" t="str">
        <f t="shared" ref="A133:A136" si="14">_xlfn.TEXTJOIN(" ",,B133,C133)</f>
        <v>Andrew Barker</v>
      </c>
      <c r="B133" s="20" t="s">
        <v>502</v>
      </c>
      <c r="C133" s="20" t="s">
        <v>503</v>
      </c>
      <c r="D133" s="20" t="s">
        <v>504</v>
      </c>
      <c r="E133" s="65">
        <v>4432026636</v>
      </c>
      <c r="F133" s="77">
        <v>18</v>
      </c>
      <c r="G133" s="65" t="s">
        <v>63</v>
      </c>
      <c r="J133" s="20" t="s">
        <v>493</v>
      </c>
      <c r="L133" s="20" t="s">
        <v>108</v>
      </c>
      <c r="O133" s="29">
        <v>43723</v>
      </c>
      <c r="P133" s="29" t="str">
        <f t="shared" si="13"/>
        <v>Y</v>
      </c>
      <c r="Q133" s="20">
        <v>6</v>
      </c>
      <c r="R133" s="78">
        <v>3</v>
      </c>
      <c r="T133" s="20">
        <v>2</v>
      </c>
      <c r="U133" s="20" t="s">
        <v>411</v>
      </c>
      <c r="V133" s="20" t="s">
        <v>43</v>
      </c>
      <c r="W133" s="20">
        <v>3</v>
      </c>
      <c r="X133" s="20">
        <v>0</v>
      </c>
    </row>
    <row r="134" spans="1:24">
      <c r="A134" s="64" t="str">
        <f t="shared" si="14"/>
        <v>Elijah Kelsey</v>
      </c>
      <c r="B134" s="20" t="s">
        <v>236</v>
      </c>
      <c r="C134" s="20" t="s">
        <v>505</v>
      </c>
      <c r="D134" s="21" t="s">
        <v>506</v>
      </c>
      <c r="E134" s="65">
        <v>8145740193</v>
      </c>
      <c r="F134" s="77">
        <v>22</v>
      </c>
      <c r="G134" s="65" t="s">
        <v>63</v>
      </c>
      <c r="J134" s="20" t="s">
        <v>64</v>
      </c>
      <c r="K134" s="20" t="s">
        <v>507</v>
      </c>
      <c r="L134" s="20" t="s">
        <v>41</v>
      </c>
      <c r="O134" s="29">
        <v>43724</v>
      </c>
      <c r="P134" s="29" t="str">
        <f t="shared" si="13"/>
        <v>Y</v>
      </c>
      <c r="Q134" s="20">
        <v>34</v>
      </c>
      <c r="R134" s="78">
        <v>8</v>
      </c>
      <c r="T134" s="20">
        <v>9</v>
      </c>
      <c r="U134" s="20" t="s">
        <v>42</v>
      </c>
      <c r="V134" s="20" t="s">
        <v>43</v>
      </c>
    </row>
    <row r="135" spans="1:24" s="64" customFormat="1">
      <c r="A135" s="64" t="str">
        <f t="shared" si="14"/>
        <v>Christopher Zhang</v>
      </c>
      <c r="B135" s="64" t="s">
        <v>508</v>
      </c>
      <c r="C135" s="64" t="s">
        <v>485</v>
      </c>
      <c r="D135" s="64" t="s">
        <v>509</v>
      </c>
      <c r="E135" s="68">
        <v>6462509698</v>
      </c>
      <c r="F135" s="85">
        <v>20</v>
      </c>
      <c r="G135" s="86" t="s">
        <v>63</v>
      </c>
      <c r="H135" s="64">
        <v>1</v>
      </c>
      <c r="J135" s="64" t="s">
        <v>493</v>
      </c>
      <c r="L135" s="64" t="s">
        <v>41</v>
      </c>
      <c r="N135" s="87"/>
      <c r="O135" s="87">
        <v>43721</v>
      </c>
      <c r="P135" s="29" t="str">
        <f t="shared" si="13"/>
        <v>Y</v>
      </c>
      <c r="Q135" s="64">
        <v>7</v>
      </c>
      <c r="R135" s="88">
        <v>1</v>
      </c>
      <c r="S135" s="88"/>
      <c r="T135" s="64">
        <v>1</v>
      </c>
      <c r="U135" s="64" t="s">
        <v>42</v>
      </c>
      <c r="V135" s="64" t="s">
        <v>43</v>
      </c>
    </row>
    <row r="136" spans="1:24">
      <c r="A136" s="64" t="str">
        <f t="shared" si="14"/>
        <v>Brice Boas</v>
      </c>
      <c r="B136" s="20" t="s">
        <v>510</v>
      </c>
      <c r="C136" s="20" t="s">
        <v>511</v>
      </c>
      <c r="D136" s="28" t="s">
        <v>512</v>
      </c>
      <c r="E136" s="66">
        <v>4848881974</v>
      </c>
      <c r="F136" s="77">
        <v>19</v>
      </c>
      <c r="G136" s="65" t="s">
        <v>63</v>
      </c>
      <c r="J136" s="20" t="s">
        <v>493</v>
      </c>
      <c r="L136" s="20" t="s">
        <v>108</v>
      </c>
      <c r="O136" s="29">
        <v>43721</v>
      </c>
      <c r="P136" s="29" t="str">
        <f t="shared" si="13"/>
        <v>Y</v>
      </c>
      <c r="Q136" s="20">
        <v>42</v>
      </c>
      <c r="R136" s="78">
        <v>10</v>
      </c>
      <c r="T136" s="20">
        <v>6</v>
      </c>
      <c r="U136" s="20" t="s">
        <v>411</v>
      </c>
      <c r="V136" s="20" t="s">
        <v>43</v>
      </c>
      <c r="W136" s="20" t="s">
        <v>513</v>
      </c>
      <c r="X136" s="20">
        <v>0</v>
      </c>
    </row>
    <row r="137" spans="1:24">
      <c r="A137" s="64" t="s">
        <v>514</v>
      </c>
      <c r="B137" s="20" t="s">
        <v>515</v>
      </c>
      <c r="C137" s="20" t="s">
        <v>516</v>
      </c>
      <c r="D137" s="28" t="s">
        <v>517</v>
      </c>
      <c r="E137" s="66">
        <v>9739432788</v>
      </c>
      <c r="F137" s="77">
        <v>18</v>
      </c>
      <c r="G137" s="65" t="s">
        <v>37</v>
      </c>
      <c r="J137" s="20" t="s">
        <v>493</v>
      </c>
      <c r="L137" s="20" t="s">
        <v>41</v>
      </c>
      <c r="M137" s="20" t="s">
        <v>518</v>
      </c>
      <c r="O137" s="29">
        <v>43725</v>
      </c>
      <c r="P137" s="29" t="str">
        <f t="shared" si="13"/>
        <v>Y</v>
      </c>
      <c r="Q137" s="20">
        <v>41</v>
      </c>
      <c r="R137" s="78">
        <v>13</v>
      </c>
      <c r="T137" s="20">
        <v>10</v>
      </c>
      <c r="U137" s="20" t="s">
        <v>42</v>
      </c>
      <c r="V137" s="20" t="s">
        <v>43</v>
      </c>
    </row>
    <row r="138" spans="1:24">
      <c r="A138" s="64" t="str">
        <f>_xlfn.TEXTJOIN(" ",,B138,C138)</f>
        <v>Victoria Oishi</v>
      </c>
      <c r="B138" s="20" t="s">
        <v>398</v>
      </c>
      <c r="C138" s="20" t="s">
        <v>519</v>
      </c>
      <c r="D138" s="21" t="s">
        <v>520</v>
      </c>
      <c r="J138" s="20" t="s">
        <v>40</v>
      </c>
      <c r="L138" s="20" t="s">
        <v>136</v>
      </c>
      <c r="P138" s="29" t="str">
        <f t="shared" si="13"/>
        <v>N</v>
      </c>
    </row>
    <row r="139" spans="1:24">
      <c r="A139" s="64" t="str">
        <f>_xlfn.TEXTJOIN(" ",,B139,C139)</f>
        <v>Mahek Naresh Oberai</v>
      </c>
      <c r="B139" s="20" t="s">
        <v>521</v>
      </c>
      <c r="C139" s="20" t="s">
        <v>522</v>
      </c>
      <c r="D139" s="21" t="s">
        <v>523</v>
      </c>
      <c r="E139" s="65">
        <v>8146991595</v>
      </c>
      <c r="F139" s="77">
        <v>24</v>
      </c>
      <c r="G139" s="65" t="s">
        <v>37</v>
      </c>
      <c r="J139" s="20" t="s">
        <v>49</v>
      </c>
      <c r="L139" s="20" t="s">
        <v>108</v>
      </c>
      <c r="O139" s="29">
        <v>43728</v>
      </c>
      <c r="P139" s="29" t="str">
        <f t="shared" si="13"/>
        <v>Y</v>
      </c>
      <c r="Q139" s="20">
        <v>23</v>
      </c>
      <c r="R139" s="78">
        <v>5</v>
      </c>
      <c r="T139" s="20">
        <v>4</v>
      </c>
      <c r="U139" s="20" t="s">
        <v>102</v>
      </c>
      <c r="V139" s="20" t="s">
        <v>43</v>
      </c>
      <c r="W139" s="20">
        <v>1</v>
      </c>
      <c r="X139" s="20">
        <v>0</v>
      </c>
    </row>
    <row r="140" spans="1:24">
      <c r="A140" s="64" t="str">
        <f>_xlfn.TEXTJOIN(" ",,B140,C140)</f>
        <v>Aiden Smith</v>
      </c>
      <c r="B140" s="20" t="s">
        <v>524</v>
      </c>
      <c r="C140" s="20" t="s">
        <v>67</v>
      </c>
      <c r="D140" s="21" t="s">
        <v>525</v>
      </c>
      <c r="E140" s="65">
        <v>7174049367</v>
      </c>
      <c r="F140" s="77">
        <v>21</v>
      </c>
      <c r="G140" s="65" t="s">
        <v>63</v>
      </c>
      <c r="J140" s="20" t="s">
        <v>64</v>
      </c>
      <c r="L140" s="20" t="s">
        <v>41</v>
      </c>
      <c r="N140" s="29">
        <v>43726</v>
      </c>
      <c r="O140" s="29">
        <v>43726</v>
      </c>
      <c r="P140" s="29" t="str">
        <f t="shared" si="13"/>
        <v>Y</v>
      </c>
      <c r="Q140" s="20">
        <v>26</v>
      </c>
      <c r="R140" s="78">
        <v>8</v>
      </c>
      <c r="T140" s="20">
        <v>7</v>
      </c>
      <c r="U140" s="20" t="s">
        <v>42</v>
      </c>
      <c r="V140" s="20" t="s">
        <v>43</v>
      </c>
    </row>
    <row r="141" spans="1:24">
      <c r="A141" s="64" t="str">
        <f t="shared" ref="A141:A189" si="15">_xlfn.TEXTJOIN(" ",,B141,C141)</f>
        <v>Hee Chan Ju</v>
      </c>
      <c r="B141" s="20" t="s">
        <v>526</v>
      </c>
      <c r="C141" s="20" t="s">
        <v>527</v>
      </c>
      <c r="D141" s="21" t="s">
        <v>528</v>
      </c>
      <c r="E141" s="65">
        <v>8143846550</v>
      </c>
      <c r="F141" s="77">
        <v>23</v>
      </c>
      <c r="G141" s="65" t="s">
        <v>63</v>
      </c>
      <c r="J141" s="20" t="s">
        <v>64</v>
      </c>
      <c r="L141" s="20" t="s">
        <v>108</v>
      </c>
      <c r="N141" s="29">
        <v>43726</v>
      </c>
      <c r="O141" s="29">
        <v>43726</v>
      </c>
      <c r="P141" s="29" t="str">
        <f t="shared" si="13"/>
        <v>Y</v>
      </c>
      <c r="Q141" s="20">
        <v>23</v>
      </c>
      <c r="R141" s="78">
        <v>8</v>
      </c>
      <c r="T141" s="20">
        <v>10</v>
      </c>
      <c r="U141" s="20" t="s">
        <v>102</v>
      </c>
      <c r="V141" s="20" t="s">
        <v>43</v>
      </c>
      <c r="W141" s="20">
        <v>9</v>
      </c>
      <c r="X141" s="20">
        <v>0</v>
      </c>
    </row>
    <row r="142" spans="1:24">
      <c r="A142" s="64" t="str">
        <f t="shared" si="15"/>
        <v>Stacy  Nelson</v>
      </c>
      <c r="B142" s="20" t="s">
        <v>529</v>
      </c>
      <c r="C142" s="20" t="s">
        <v>530</v>
      </c>
      <c r="D142" s="21" t="s">
        <v>531</v>
      </c>
      <c r="E142" s="65">
        <v>9785012265</v>
      </c>
      <c r="F142" s="77">
        <v>21</v>
      </c>
      <c r="G142" s="65" t="s">
        <v>37</v>
      </c>
      <c r="J142" s="20" t="s">
        <v>64</v>
      </c>
      <c r="L142" s="20" t="s">
        <v>41</v>
      </c>
      <c r="N142" s="29">
        <v>43726</v>
      </c>
      <c r="O142" s="29">
        <v>43726</v>
      </c>
      <c r="P142" s="29" t="str">
        <f t="shared" si="13"/>
        <v>Y</v>
      </c>
      <c r="Q142" s="20">
        <v>26</v>
      </c>
      <c r="R142" s="78">
        <v>6</v>
      </c>
      <c r="T142" s="20">
        <v>8</v>
      </c>
      <c r="U142" s="20" t="s">
        <v>42</v>
      </c>
      <c r="V142" s="20" t="s">
        <v>43</v>
      </c>
    </row>
    <row r="143" spans="1:24">
      <c r="A143" s="64" t="str">
        <f t="shared" si="15"/>
        <v xml:space="preserve">Chris Funari </v>
      </c>
      <c r="B143" s="20" t="s">
        <v>494</v>
      </c>
      <c r="C143" s="20" t="s">
        <v>532</v>
      </c>
      <c r="D143" s="21" t="s">
        <v>533</v>
      </c>
      <c r="E143" s="67">
        <v>9732745818</v>
      </c>
      <c r="F143" s="77">
        <v>19</v>
      </c>
      <c r="G143" s="65" t="s">
        <v>63</v>
      </c>
      <c r="J143" s="20" t="s">
        <v>326</v>
      </c>
      <c r="L143" s="20" t="s">
        <v>108</v>
      </c>
      <c r="N143" s="29">
        <v>43728</v>
      </c>
      <c r="O143" s="29">
        <v>43728</v>
      </c>
      <c r="P143" s="29" t="str">
        <f t="shared" si="13"/>
        <v>Y</v>
      </c>
      <c r="Q143" s="20">
        <v>17</v>
      </c>
      <c r="R143" s="78">
        <v>6</v>
      </c>
      <c r="T143" s="20">
        <v>1</v>
      </c>
      <c r="U143" s="20" t="s">
        <v>102</v>
      </c>
      <c r="V143" s="20" t="s">
        <v>534</v>
      </c>
      <c r="W143" s="20" t="s">
        <v>535</v>
      </c>
      <c r="X143" s="20">
        <v>0</v>
      </c>
    </row>
    <row r="144" spans="1:24">
      <c r="A144" s="64" t="str">
        <f t="shared" si="15"/>
        <v>Chloe Nakhleh</v>
      </c>
      <c r="B144" s="74" t="s">
        <v>536</v>
      </c>
      <c r="C144" s="20" t="s">
        <v>537</v>
      </c>
      <c r="D144" s="28" t="s">
        <v>538</v>
      </c>
      <c r="E144" s="66">
        <v>8627039954</v>
      </c>
      <c r="F144" s="77">
        <v>18</v>
      </c>
      <c r="G144" s="65" t="s">
        <v>37</v>
      </c>
      <c r="J144" s="20" t="s">
        <v>493</v>
      </c>
      <c r="L144" s="20" t="s">
        <v>41</v>
      </c>
      <c r="N144" s="29">
        <v>43728</v>
      </c>
      <c r="O144" s="29">
        <v>43728</v>
      </c>
      <c r="P144" s="29" t="str">
        <f t="shared" si="13"/>
        <v>Y</v>
      </c>
      <c r="Q144" s="20">
        <v>40</v>
      </c>
      <c r="R144" s="78">
        <v>9</v>
      </c>
      <c r="T144" s="20">
        <v>10</v>
      </c>
      <c r="U144" s="20" t="s">
        <v>42</v>
      </c>
      <c r="V144" s="20" t="s">
        <v>43</v>
      </c>
    </row>
    <row r="145" spans="1:24">
      <c r="A145" s="64" t="str">
        <f t="shared" si="15"/>
        <v>Anika Weaver</v>
      </c>
      <c r="B145" s="20" t="s">
        <v>180</v>
      </c>
      <c r="C145" s="20" t="s">
        <v>539</v>
      </c>
      <c r="D145" s="21" t="s">
        <v>540</v>
      </c>
      <c r="E145" s="67">
        <v>7176694564</v>
      </c>
      <c r="F145" s="77">
        <v>18</v>
      </c>
      <c r="G145" s="65" t="s">
        <v>37</v>
      </c>
      <c r="J145" s="20" t="s">
        <v>64</v>
      </c>
      <c r="L145" s="20" t="s">
        <v>108</v>
      </c>
      <c r="N145" s="29">
        <v>43728</v>
      </c>
      <c r="O145" s="29">
        <v>43728</v>
      </c>
      <c r="P145" s="29" t="str">
        <f t="shared" si="13"/>
        <v>Y</v>
      </c>
      <c r="Q145" s="20">
        <v>20</v>
      </c>
      <c r="R145" s="78">
        <v>8</v>
      </c>
      <c r="T145" s="20">
        <v>0</v>
      </c>
      <c r="U145" s="20" t="s">
        <v>102</v>
      </c>
      <c r="V145" s="20" t="s">
        <v>534</v>
      </c>
      <c r="W145" s="20">
        <v>1</v>
      </c>
      <c r="X145" s="20">
        <v>0</v>
      </c>
    </row>
    <row r="146" spans="1:24">
      <c r="A146" s="64" t="str">
        <f t="shared" si="15"/>
        <v>Stephanie Muller</v>
      </c>
      <c r="B146" s="20" t="s">
        <v>541</v>
      </c>
      <c r="C146" s="20" t="s">
        <v>542</v>
      </c>
      <c r="D146" s="21" t="s">
        <v>543</v>
      </c>
      <c r="E146" s="67">
        <v>8143211012</v>
      </c>
      <c r="F146" s="77">
        <v>19</v>
      </c>
      <c r="G146" s="65" t="s">
        <v>37</v>
      </c>
      <c r="J146" s="20" t="s">
        <v>64</v>
      </c>
      <c r="L146" s="20" t="s">
        <v>108</v>
      </c>
      <c r="N146" s="29">
        <v>43731</v>
      </c>
      <c r="O146" s="29">
        <v>43731</v>
      </c>
      <c r="P146" s="29" t="str">
        <f t="shared" si="13"/>
        <v>Y</v>
      </c>
      <c r="Q146" s="20">
        <v>28</v>
      </c>
      <c r="R146" s="78">
        <v>6</v>
      </c>
      <c r="T146" s="20">
        <v>5</v>
      </c>
      <c r="U146" s="20" t="s">
        <v>102</v>
      </c>
      <c r="V146" s="20" t="s">
        <v>534</v>
      </c>
      <c r="W146" s="20">
        <v>1</v>
      </c>
      <c r="X146" s="20">
        <v>0</v>
      </c>
    </row>
    <row r="147" spans="1:24">
      <c r="A147" s="64" t="str">
        <f t="shared" si="15"/>
        <v>Dominick Caprarola</v>
      </c>
      <c r="B147" s="20" t="s">
        <v>544</v>
      </c>
      <c r="C147" s="20" t="s">
        <v>545</v>
      </c>
      <c r="D147" s="21" t="s">
        <v>546</v>
      </c>
      <c r="E147" s="67">
        <v>6097608414</v>
      </c>
      <c r="F147" s="77">
        <v>21</v>
      </c>
      <c r="G147" s="65" t="s">
        <v>63</v>
      </c>
      <c r="J147" s="20" t="s">
        <v>326</v>
      </c>
      <c r="L147" s="20" t="s">
        <v>108</v>
      </c>
      <c r="N147" s="29">
        <v>43731</v>
      </c>
      <c r="O147" s="29">
        <v>43731</v>
      </c>
      <c r="P147" s="29" t="str">
        <f t="shared" si="13"/>
        <v>Y</v>
      </c>
      <c r="Q147" s="20">
        <v>20</v>
      </c>
      <c r="R147" s="78">
        <v>4</v>
      </c>
      <c r="T147" s="20">
        <v>2</v>
      </c>
      <c r="U147" s="20" t="s">
        <v>102</v>
      </c>
      <c r="V147" s="20" t="s">
        <v>534</v>
      </c>
      <c r="W147" s="20">
        <v>1</v>
      </c>
      <c r="X147" s="20">
        <v>0</v>
      </c>
    </row>
    <row r="148" spans="1:24">
      <c r="A148" s="64" t="str">
        <f t="shared" si="15"/>
        <v>Chastity Davis</v>
      </c>
      <c r="B148" s="20" t="s">
        <v>547</v>
      </c>
      <c r="C148" s="20" t="s">
        <v>548</v>
      </c>
      <c r="D148" s="21" t="s">
        <v>549</v>
      </c>
      <c r="E148" s="65">
        <v>8149310382</v>
      </c>
      <c r="F148" s="77">
        <v>19</v>
      </c>
      <c r="G148" s="65" t="s">
        <v>37</v>
      </c>
      <c r="L148" s="20" t="s">
        <v>108</v>
      </c>
      <c r="N148" s="29">
        <v>43004</v>
      </c>
      <c r="O148" s="29">
        <v>43734</v>
      </c>
      <c r="P148" s="29" t="str">
        <f t="shared" si="13"/>
        <v>Y</v>
      </c>
      <c r="Q148" s="20">
        <v>21</v>
      </c>
      <c r="R148" s="78">
        <v>4</v>
      </c>
      <c r="T148" s="20">
        <v>12</v>
      </c>
      <c r="U148" s="20" t="s">
        <v>102</v>
      </c>
      <c r="V148" s="20" t="s">
        <v>534</v>
      </c>
      <c r="W148" s="20">
        <v>1</v>
      </c>
      <c r="X148" s="20">
        <v>0</v>
      </c>
    </row>
    <row r="149" spans="1:24">
      <c r="A149" s="64" t="str">
        <f t="shared" si="15"/>
        <v>Halle Richardson</v>
      </c>
      <c r="B149" s="20" t="s">
        <v>550</v>
      </c>
      <c r="C149" s="20" t="s">
        <v>551</v>
      </c>
      <c r="D149" s="21" t="s">
        <v>552</v>
      </c>
      <c r="L149" s="20" t="s">
        <v>108</v>
      </c>
      <c r="N149" s="29">
        <v>43734</v>
      </c>
      <c r="O149" s="29">
        <v>43734</v>
      </c>
      <c r="P149" s="29" t="str">
        <f t="shared" si="13"/>
        <v>Y</v>
      </c>
      <c r="Q149" s="20">
        <v>31</v>
      </c>
      <c r="R149" s="78">
        <v>10</v>
      </c>
      <c r="T149" s="20">
        <v>6</v>
      </c>
      <c r="U149" s="20" t="s">
        <v>102</v>
      </c>
      <c r="V149" s="20" t="s">
        <v>534</v>
      </c>
      <c r="W149" s="20">
        <v>1</v>
      </c>
      <c r="X149" s="20">
        <v>0</v>
      </c>
    </row>
    <row r="150" spans="1:24">
      <c r="A150" s="64" t="str">
        <f t="shared" si="15"/>
        <v>Marisa Blanco</v>
      </c>
      <c r="B150" s="20" t="s">
        <v>553</v>
      </c>
      <c r="C150" s="20" t="s">
        <v>554</v>
      </c>
      <c r="J150" s="20" t="s">
        <v>40</v>
      </c>
      <c r="L150" s="20" t="s">
        <v>136</v>
      </c>
      <c r="M150" s="20" t="s">
        <v>555</v>
      </c>
      <c r="N150" s="29">
        <v>43734</v>
      </c>
      <c r="P150" s="29" t="str">
        <f t="shared" si="13"/>
        <v>N</v>
      </c>
    </row>
    <row r="151" spans="1:24">
      <c r="A151" s="64" t="str">
        <f t="shared" si="15"/>
        <v>Meghan Bokach</v>
      </c>
      <c r="B151" s="20" t="s">
        <v>556</v>
      </c>
      <c r="C151" s="20" t="s">
        <v>557</v>
      </c>
      <c r="D151" s="21" t="s">
        <v>558</v>
      </c>
      <c r="E151" s="65" t="s">
        <v>559</v>
      </c>
      <c r="F151" s="77">
        <v>19</v>
      </c>
      <c r="J151" s="20" t="s">
        <v>64</v>
      </c>
      <c r="L151" s="20" t="s">
        <v>41</v>
      </c>
      <c r="N151" s="29">
        <v>43735</v>
      </c>
      <c r="O151" s="29">
        <v>43737</v>
      </c>
      <c r="P151" s="29" t="str">
        <f t="shared" si="13"/>
        <v>Y</v>
      </c>
      <c r="Q151" s="20">
        <v>13</v>
      </c>
      <c r="R151" s="78">
        <v>3</v>
      </c>
      <c r="T151" s="20">
        <v>1</v>
      </c>
      <c r="U151" s="20" t="s">
        <v>42</v>
      </c>
      <c r="V151" s="20" t="s">
        <v>534</v>
      </c>
    </row>
    <row r="152" spans="1:24">
      <c r="A152" s="64" t="str">
        <f t="shared" si="15"/>
        <v>Gavin Keller</v>
      </c>
      <c r="B152" s="20" t="s">
        <v>560</v>
      </c>
      <c r="C152" s="20" t="s">
        <v>332</v>
      </c>
      <c r="D152" s="21" t="s">
        <v>561</v>
      </c>
      <c r="E152" s="65" t="s">
        <v>562</v>
      </c>
      <c r="F152" s="77">
        <v>22</v>
      </c>
      <c r="G152" s="65" t="s">
        <v>63</v>
      </c>
      <c r="J152" s="20" t="s">
        <v>64</v>
      </c>
      <c r="L152" s="20" t="s">
        <v>41</v>
      </c>
      <c r="N152" s="29">
        <v>43735</v>
      </c>
      <c r="O152" s="29">
        <v>43735</v>
      </c>
      <c r="P152" s="29" t="str">
        <f t="shared" si="13"/>
        <v>Y</v>
      </c>
      <c r="Q152" s="20">
        <v>37</v>
      </c>
      <c r="R152" s="78">
        <v>14</v>
      </c>
      <c r="T152" s="20">
        <v>8</v>
      </c>
      <c r="U152" s="20" t="s">
        <v>42</v>
      </c>
      <c r="V152" s="20" t="s">
        <v>534</v>
      </c>
    </row>
    <row r="153" spans="1:24">
      <c r="A153" s="64" t="str">
        <f t="shared" si="15"/>
        <v>Sage Aviles</v>
      </c>
      <c r="B153" s="20" t="s">
        <v>563</v>
      </c>
      <c r="C153" s="20" t="s">
        <v>564</v>
      </c>
      <c r="D153" s="21" t="s">
        <v>565</v>
      </c>
      <c r="E153" s="65">
        <v>2152928368</v>
      </c>
      <c r="F153" s="77">
        <v>24</v>
      </c>
      <c r="G153" s="65" t="s">
        <v>37</v>
      </c>
      <c r="L153" s="20" t="s">
        <v>566</v>
      </c>
      <c r="N153" s="29">
        <v>43735</v>
      </c>
      <c r="O153" s="29">
        <v>43735</v>
      </c>
      <c r="P153" s="29" t="str">
        <f t="shared" si="13"/>
        <v>Y</v>
      </c>
      <c r="Q153" s="20">
        <v>28</v>
      </c>
      <c r="R153" s="78">
        <v>13</v>
      </c>
      <c r="T153" s="20">
        <v>7</v>
      </c>
      <c r="U153" s="20" t="s">
        <v>42</v>
      </c>
      <c r="V153" s="20" t="s">
        <v>534</v>
      </c>
      <c r="W153" s="20">
        <v>3</v>
      </c>
    </row>
    <row r="154" spans="1:24">
      <c r="A154" s="64" t="str">
        <f t="shared" si="15"/>
        <v>Alyssa Hanford</v>
      </c>
      <c r="B154" s="20" t="s">
        <v>567</v>
      </c>
      <c r="C154" s="20" t="s">
        <v>568</v>
      </c>
      <c r="D154" s="21" t="s">
        <v>569</v>
      </c>
      <c r="E154" s="66">
        <v>7076076147</v>
      </c>
      <c r="F154" s="77">
        <v>19</v>
      </c>
      <c r="G154" s="65" t="s">
        <v>37</v>
      </c>
      <c r="J154" s="20" t="s">
        <v>64</v>
      </c>
      <c r="K154" s="20" t="s">
        <v>507</v>
      </c>
      <c r="L154" s="20" t="s">
        <v>41</v>
      </c>
      <c r="N154" s="29">
        <v>43735</v>
      </c>
      <c r="O154" s="29">
        <v>43736</v>
      </c>
      <c r="P154" s="29" t="str">
        <f t="shared" si="13"/>
        <v>Y</v>
      </c>
      <c r="Q154" s="20">
        <v>52</v>
      </c>
      <c r="R154" s="78">
        <v>12</v>
      </c>
      <c r="T154" s="20">
        <v>3</v>
      </c>
      <c r="U154" s="20" t="s">
        <v>42</v>
      </c>
      <c r="V154" s="20" t="s">
        <v>534</v>
      </c>
    </row>
    <row r="155" spans="1:24">
      <c r="A155" s="64" t="str">
        <f t="shared" si="15"/>
        <v>Sabrina Airey</v>
      </c>
      <c r="B155" s="20" t="s">
        <v>570</v>
      </c>
      <c r="C155" s="20" t="s">
        <v>571</v>
      </c>
      <c r="D155" s="21" t="s">
        <v>572</v>
      </c>
      <c r="E155" s="66">
        <v>2674959931</v>
      </c>
      <c r="F155" s="77">
        <v>18</v>
      </c>
      <c r="G155" s="65" t="s">
        <v>37</v>
      </c>
      <c r="L155" s="20" t="s">
        <v>108</v>
      </c>
      <c r="N155" s="29">
        <v>43735</v>
      </c>
      <c r="O155" s="29">
        <v>43735</v>
      </c>
      <c r="P155" s="29" t="str">
        <f t="shared" si="13"/>
        <v>Y</v>
      </c>
      <c r="Q155" s="20">
        <v>33</v>
      </c>
      <c r="R155" s="78">
        <v>8</v>
      </c>
      <c r="T155" s="20">
        <v>0</v>
      </c>
      <c r="U155" s="20" t="s">
        <v>102</v>
      </c>
      <c r="V155" s="20" t="s">
        <v>534</v>
      </c>
      <c r="W155" s="20">
        <v>1</v>
      </c>
      <c r="X155" s="20">
        <v>0</v>
      </c>
    </row>
    <row r="156" spans="1:24">
      <c r="A156" s="64" t="str">
        <f t="shared" si="15"/>
        <v>Sofia Leon</v>
      </c>
      <c r="B156" s="20" t="s">
        <v>573</v>
      </c>
      <c r="C156" s="20" t="s">
        <v>574</v>
      </c>
      <c r="D156" s="21" t="s">
        <v>575</v>
      </c>
      <c r="E156" s="66">
        <v>5703697554</v>
      </c>
      <c r="F156" s="77">
        <v>19</v>
      </c>
      <c r="G156" s="65" t="s">
        <v>37</v>
      </c>
      <c r="J156" s="20" t="s">
        <v>64</v>
      </c>
      <c r="K156" s="20" t="s">
        <v>507</v>
      </c>
      <c r="L156" s="20" t="s">
        <v>41</v>
      </c>
      <c r="M156" s="20" t="s">
        <v>576</v>
      </c>
      <c r="N156" s="29">
        <v>43738</v>
      </c>
      <c r="O156" s="29">
        <v>43738</v>
      </c>
      <c r="P156" s="29" t="str">
        <f t="shared" si="13"/>
        <v>Y</v>
      </c>
      <c r="Q156" s="20">
        <v>40</v>
      </c>
      <c r="R156" s="78">
        <v>3</v>
      </c>
      <c r="T156" s="20">
        <v>7</v>
      </c>
      <c r="U156" s="20" t="s">
        <v>42</v>
      </c>
      <c r="V156" s="20" t="s">
        <v>43</v>
      </c>
    </row>
    <row r="157" spans="1:24">
      <c r="A157" s="64" t="str">
        <f t="shared" si="15"/>
        <v>Isabella Perez</v>
      </c>
      <c r="B157" s="20" t="s">
        <v>577</v>
      </c>
      <c r="C157" s="20" t="s">
        <v>578</v>
      </c>
      <c r="D157" s="21" t="s">
        <v>579</v>
      </c>
      <c r="E157" s="65" t="s">
        <v>580</v>
      </c>
      <c r="F157" s="77">
        <v>18</v>
      </c>
      <c r="G157" s="65" t="s">
        <v>37</v>
      </c>
      <c r="J157" s="20" t="s">
        <v>581</v>
      </c>
      <c r="L157" s="20" t="s">
        <v>41</v>
      </c>
      <c r="N157" s="29">
        <v>43738</v>
      </c>
      <c r="O157" s="29">
        <v>43738</v>
      </c>
      <c r="P157" s="29" t="str">
        <f t="shared" si="13"/>
        <v>Y</v>
      </c>
      <c r="Q157" s="20">
        <v>52</v>
      </c>
      <c r="R157" s="78">
        <v>16</v>
      </c>
      <c r="T157" s="20">
        <v>7</v>
      </c>
      <c r="U157" s="20" t="s">
        <v>42</v>
      </c>
      <c r="V157" s="20" t="s">
        <v>43</v>
      </c>
    </row>
    <row r="158" spans="1:24">
      <c r="A158" s="64" t="str">
        <f t="shared" si="15"/>
        <v>Lark Wilson</v>
      </c>
      <c r="B158" s="20" t="s">
        <v>582</v>
      </c>
      <c r="C158" s="20" t="s">
        <v>583</v>
      </c>
      <c r="D158" s="21" t="s">
        <v>584</v>
      </c>
      <c r="E158" s="65">
        <v>7172089394</v>
      </c>
      <c r="F158" s="77">
        <v>23</v>
      </c>
      <c r="G158" s="65" t="s">
        <v>37</v>
      </c>
      <c r="L158" s="20" t="s">
        <v>108</v>
      </c>
      <c r="N158" s="29">
        <v>43738</v>
      </c>
      <c r="O158" s="29">
        <v>43738</v>
      </c>
      <c r="P158" s="29" t="str">
        <f t="shared" si="13"/>
        <v>Y</v>
      </c>
      <c r="Q158" s="20">
        <v>25</v>
      </c>
      <c r="R158" s="78">
        <v>8</v>
      </c>
      <c r="T158" s="20">
        <v>3</v>
      </c>
      <c r="U158" s="20" t="s">
        <v>102</v>
      </c>
      <c r="V158" s="20" t="s">
        <v>43</v>
      </c>
      <c r="W158" s="20">
        <v>1</v>
      </c>
      <c r="X158" s="20">
        <v>0</v>
      </c>
    </row>
    <row r="159" spans="1:24">
      <c r="A159" s="64" t="str">
        <f t="shared" si="15"/>
        <v>Sarah Ramey</v>
      </c>
      <c r="B159" s="20" t="s">
        <v>128</v>
      </c>
      <c r="C159" s="20" t="s">
        <v>585</v>
      </c>
      <c r="D159" s="21" t="s">
        <v>586</v>
      </c>
      <c r="E159" s="65">
        <v>7406375290</v>
      </c>
      <c r="F159" s="77">
        <v>21</v>
      </c>
      <c r="G159" s="65" t="s">
        <v>37</v>
      </c>
      <c r="J159" s="20" t="s">
        <v>587</v>
      </c>
      <c r="L159" s="20" t="s">
        <v>41</v>
      </c>
      <c r="M159" s="20" t="s">
        <v>588</v>
      </c>
      <c r="N159" s="29">
        <v>43738</v>
      </c>
      <c r="O159" s="29">
        <v>43738</v>
      </c>
      <c r="P159" s="29" t="str">
        <f t="shared" si="13"/>
        <v>Y</v>
      </c>
      <c r="Q159" s="20">
        <v>56</v>
      </c>
      <c r="R159" s="78">
        <v>15</v>
      </c>
      <c r="T159" s="20">
        <v>9</v>
      </c>
      <c r="U159" s="20" t="s">
        <v>42</v>
      </c>
      <c r="V159" s="20" t="s">
        <v>43</v>
      </c>
    </row>
    <row r="160" spans="1:24">
      <c r="A160" s="64" t="str">
        <f t="shared" si="15"/>
        <v>Emma Garry</v>
      </c>
      <c r="B160" s="20" t="s">
        <v>589</v>
      </c>
      <c r="C160" s="20" t="s">
        <v>590</v>
      </c>
      <c r="D160" s="21" t="s">
        <v>591</v>
      </c>
      <c r="E160" s="65">
        <v>2677989115</v>
      </c>
      <c r="F160" s="77">
        <v>19</v>
      </c>
      <c r="G160" s="65" t="s">
        <v>37</v>
      </c>
      <c r="J160" s="20" t="s">
        <v>64</v>
      </c>
      <c r="K160" s="20" t="s">
        <v>397</v>
      </c>
      <c r="L160" s="20" t="s">
        <v>108</v>
      </c>
      <c r="N160" s="29">
        <v>43738</v>
      </c>
      <c r="O160" s="29">
        <v>43738</v>
      </c>
      <c r="P160" s="29" t="str">
        <f t="shared" si="13"/>
        <v>Y</v>
      </c>
      <c r="Q160" s="20">
        <v>29</v>
      </c>
      <c r="R160" s="78">
        <v>10</v>
      </c>
      <c r="T160" s="20">
        <v>4</v>
      </c>
      <c r="U160" s="20" t="s">
        <v>102</v>
      </c>
      <c r="V160" s="20" t="s">
        <v>43</v>
      </c>
      <c r="W160" s="20" t="s">
        <v>592</v>
      </c>
      <c r="X160" s="20">
        <v>0</v>
      </c>
    </row>
    <row r="161" spans="1:24">
      <c r="A161" s="64" t="str">
        <f t="shared" si="15"/>
        <v>Maria Alvarez</v>
      </c>
      <c r="B161" s="20" t="s">
        <v>593</v>
      </c>
      <c r="C161" s="20" t="s">
        <v>594</v>
      </c>
      <c r="D161" s="21" t="s">
        <v>595</v>
      </c>
      <c r="E161" s="65">
        <v>8148265095</v>
      </c>
      <c r="F161" s="77">
        <v>18</v>
      </c>
      <c r="G161" s="65" t="s">
        <v>37</v>
      </c>
      <c r="J161" s="20" t="s">
        <v>64</v>
      </c>
      <c r="K161" s="20" t="s">
        <v>596</v>
      </c>
      <c r="L161" s="20" t="s">
        <v>41</v>
      </c>
      <c r="N161" s="29">
        <v>43738</v>
      </c>
      <c r="O161" s="29">
        <v>43738</v>
      </c>
      <c r="P161" s="29" t="str">
        <f t="shared" si="13"/>
        <v>Y</v>
      </c>
      <c r="Q161" s="20">
        <v>58</v>
      </c>
      <c r="R161" s="78">
        <v>16</v>
      </c>
      <c r="T161" s="20">
        <v>11</v>
      </c>
      <c r="U161" s="20" t="s">
        <v>42</v>
      </c>
      <c r="V161" s="20" t="s">
        <v>43</v>
      </c>
    </row>
    <row r="162" spans="1:24">
      <c r="A162" s="20" t="str">
        <f t="shared" si="15"/>
        <v>Sophia Vouvalis</v>
      </c>
      <c r="B162" s="20" t="s">
        <v>597</v>
      </c>
      <c r="C162" s="20" t="s">
        <v>598</v>
      </c>
      <c r="D162" s="21" t="s">
        <v>599</v>
      </c>
      <c r="J162" s="20" t="s">
        <v>40</v>
      </c>
      <c r="L162" s="20" t="s">
        <v>136</v>
      </c>
      <c r="N162" s="29">
        <v>43738</v>
      </c>
      <c r="P162" s="29" t="str">
        <f t="shared" si="13"/>
        <v>N</v>
      </c>
    </row>
    <row r="163" spans="1:24">
      <c r="A163" s="20" t="str">
        <f t="shared" si="15"/>
        <v>Alexa Plisiewicz</v>
      </c>
      <c r="B163" s="20" t="s">
        <v>600</v>
      </c>
      <c r="C163" s="20" t="s">
        <v>601</v>
      </c>
      <c r="D163" s="21" t="s">
        <v>602</v>
      </c>
      <c r="E163" s="65">
        <v>5708983924</v>
      </c>
      <c r="F163" s="77">
        <v>20</v>
      </c>
      <c r="G163" s="65" t="s">
        <v>37</v>
      </c>
      <c r="J163" s="20" t="s">
        <v>64</v>
      </c>
      <c r="L163" s="20" t="s">
        <v>41</v>
      </c>
      <c r="N163" s="29">
        <v>43739</v>
      </c>
      <c r="O163" s="29">
        <v>43740</v>
      </c>
      <c r="P163" s="29" t="str">
        <f t="shared" ref="P163:P226" si="16">IF(O163&lt;&gt;"","Y","N")</f>
        <v>Y</v>
      </c>
      <c r="Q163" s="20">
        <v>56</v>
      </c>
      <c r="R163" s="78">
        <v>12</v>
      </c>
      <c r="T163" s="20">
        <v>4</v>
      </c>
      <c r="U163" s="20" t="s">
        <v>42</v>
      </c>
      <c r="V163" s="20" t="s">
        <v>43</v>
      </c>
    </row>
    <row r="164" spans="1:24">
      <c r="A164" s="20" t="str">
        <f t="shared" si="15"/>
        <v>Reeya Lele</v>
      </c>
      <c r="B164" s="20" t="s">
        <v>603</v>
      </c>
      <c r="C164" s="20" t="s">
        <v>604</v>
      </c>
      <c r="D164" s="21" t="s">
        <v>605</v>
      </c>
      <c r="L164" s="20" t="s">
        <v>136</v>
      </c>
      <c r="N164" s="29">
        <v>43739</v>
      </c>
      <c r="P164" s="29" t="str">
        <f t="shared" si="16"/>
        <v>N</v>
      </c>
    </row>
    <row r="165" spans="1:24">
      <c r="A165" s="81" t="str">
        <f t="shared" si="15"/>
        <v>Marcelle Gentile</v>
      </c>
      <c r="B165" s="20" t="s">
        <v>606</v>
      </c>
      <c r="C165" s="20" t="s">
        <v>607</v>
      </c>
      <c r="D165" s="21" t="s">
        <v>608</v>
      </c>
      <c r="E165" s="65" t="s">
        <v>609</v>
      </c>
      <c r="F165" s="77">
        <v>21</v>
      </c>
      <c r="G165" s="65" t="s">
        <v>37</v>
      </c>
      <c r="J165" s="20" t="s">
        <v>64</v>
      </c>
      <c r="K165" s="20" t="s">
        <v>397</v>
      </c>
      <c r="L165" s="20" t="s">
        <v>108</v>
      </c>
      <c r="M165" s="20" t="s">
        <v>610</v>
      </c>
      <c r="N165" s="29">
        <v>43739</v>
      </c>
      <c r="O165" s="29">
        <v>43745</v>
      </c>
      <c r="P165" s="29" t="str">
        <f t="shared" si="16"/>
        <v>Y</v>
      </c>
      <c r="Q165" s="20">
        <v>41</v>
      </c>
      <c r="R165" s="78">
        <v>12</v>
      </c>
      <c r="T165" s="20">
        <v>6</v>
      </c>
    </row>
    <row r="166" spans="1:24">
      <c r="A166" s="64" t="str">
        <f t="shared" si="15"/>
        <v>Chrissie Shin</v>
      </c>
      <c r="B166" s="20" t="s">
        <v>611</v>
      </c>
      <c r="C166" s="20" t="s">
        <v>612</v>
      </c>
      <c r="D166" s="21" t="s">
        <v>613</v>
      </c>
      <c r="E166" s="65">
        <v>2675304325</v>
      </c>
      <c r="F166" s="77">
        <v>21</v>
      </c>
      <c r="G166" s="65" t="s">
        <v>37</v>
      </c>
      <c r="J166" s="20" t="s">
        <v>64</v>
      </c>
      <c r="K166" s="20" t="s">
        <v>483</v>
      </c>
      <c r="L166" s="20" t="s">
        <v>108</v>
      </c>
      <c r="N166" s="29">
        <v>43746</v>
      </c>
      <c r="O166" s="29">
        <v>43747</v>
      </c>
      <c r="P166" s="29" t="str">
        <f t="shared" si="16"/>
        <v>Y</v>
      </c>
      <c r="Q166" s="20">
        <v>39</v>
      </c>
      <c r="R166" s="78">
        <v>8</v>
      </c>
      <c r="T166" s="20">
        <v>2</v>
      </c>
      <c r="U166" s="20" t="s">
        <v>102</v>
      </c>
      <c r="V166" s="20" t="s">
        <v>43</v>
      </c>
      <c r="W166" s="20">
        <v>1</v>
      </c>
      <c r="X166" s="20">
        <v>0</v>
      </c>
    </row>
    <row r="167" spans="1:24">
      <c r="A167" s="64" t="str">
        <f t="shared" si="15"/>
        <v>Ronan Berger</v>
      </c>
      <c r="B167" s="20" t="s">
        <v>614</v>
      </c>
      <c r="C167" s="20" t="s">
        <v>615</v>
      </c>
      <c r="D167" s="21" t="s">
        <v>616</v>
      </c>
      <c r="E167" s="65">
        <v>7248149670</v>
      </c>
      <c r="F167" s="77">
        <v>19</v>
      </c>
      <c r="G167" s="65" t="s">
        <v>63</v>
      </c>
      <c r="J167" s="20" t="s">
        <v>64</v>
      </c>
      <c r="K167" s="20" t="s">
        <v>507</v>
      </c>
      <c r="L167" s="20" t="s">
        <v>41</v>
      </c>
      <c r="N167" s="29">
        <v>43747</v>
      </c>
      <c r="O167" s="29">
        <v>43748</v>
      </c>
      <c r="P167" s="29" t="str">
        <f t="shared" si="16"/>
        <v>Y</v>
      </c>
      <c r="Q167" s="20">
        <v>19</v>
      </c>
      <c r="R167" s="78">
        <v>4</v>
      </c>
      <c r="T167" s="20">
        <v>7</v>
      </c>
      <c r="U167" s="20" t="s">
        <v>42</v>
      </c>
      <c r="V167" s="20" t="s">
        <v>43</v>
      </c>
    </row>
    <row r="168" spans="1:24">
      <c r="A168" s="20" t="str">
        <f t="shared" si="15"/>
        <v>Dinky Patel</v>
      </c>
      <c r="B168" s="20" t="s">
        <v>617</v>
      </c>
      <c r="C168" s="20" t="s">
        <v>246</v>
      </c>
      <c r="D168" s="21" t="s">
        <v>618</v>
      </c>
      <c r="J168" s="20" t="s">
        <v>40</v>
      </c>
      <c r="L168" s="20" t="s">
        <v>136</v>
      </c>
      <c r="N168" s="29">
        <v>43747</v>
      </c>
      <c r="P168" s="29" t="str">
        <f t="shared" si="16"/>
        <v>N</v>
      </c>
    </row>
    <row r="169" spans="1:24">
      <c r="A169" s="64" t="str">
        <f t="shared" si="15"/>
        <v>Eric  Lundberg</v>
      </c>
      <c r="B169" s="20" t="s">
        <v>619</v>
      </c>
      <c r="C169" s="20" t="s">
        <v>620</v>
      </c>
      <c r="D169" s="21" t="s">
        <v>621</v>
      </c>
      <c r="E169" s="65">
        <v>2673067274</v>
      </c>
      <c r="F169" s="77">
        <v>19</v>
      </c>
      <c r="G169" s="65" t="s">
        <v>63</v>
      </c>
      <c r="J169" s="20" t="s">
        <v>493</v>
      </c>
      <c r="L169" s="20" t="s">
        <v>108</v>
      </c>
      <c r="N169" s="29">
        <v>43747</v>
      </c>
      <c r="O169" s="29">
        <v>43747</v>
      </c>
      <c r="P169" s="29" t="str">
        <f t="shared" si="16"/>
        <v>Y</v>
      </c>
      <c r="Q169" s="20">
        <v>38</v>
      </c>
      <c r="R169" s="78">
        <v>9</v>
      </c>
      <c r="T169" s="20">
        <v>10</v>
      </c>
      <c r="U169" s="20" t="s">
        <v>102</v>
      </c>
      <c r="V169" s="20" t="s">
        <v>43</v>
      </c>
      <c r="W169" s="20">
        <v>9</v>
      </c>
      <c r="X169" s="20">
        <v>0</v>
      </c>
    </row>
    <row r="170" spans="1:24">
      <c r="A170" s="64" t="str">
        <f t="shared" si="15"/>
        <v>Grace Christman</v>
      </c>
      <c r="B170" s="20" t="s">
        <v>622</v>
      </c>
      <c r="C170" s="20" t="s">
        <v>623</v>
      </c>
      <c r="D170" s="21" t="s">
        <v>624</v>
      </c>
      <c r="E170" s="65">
        <v>6143130839</v>
      </c>
      <c r="F170" s="77">
        <v>19</v>
      </c>
      <c r="G170" s="65" t="s">
        <v>37</v>
      </c>
      <c r="J170" s="20" t="s">
        <v>493</v>
      </c>
      <c r="L170" s="20" t="s">
        <v>108</v>
      </c>
      <c r="N170" s="29">
        <v>43747</v>
      </c>
      <c r="O170" s="29">
        <v>43747</v>
      </c>
      <c r="P170" s="29" t="str">
        <f t="shared" si="16"/>
        <v>Y</v>
      </c>
      <c r="Q170" s="20">
        <v>15</v>
      </c>
      <c r="R170" s="78">
        <v>4</v>
      </c>
      <c r="T170" s="20">
        <v>5</v>
      </c>
      <c r="U170" s="20" t="s">
        <v>102</v>
      </c>
      <c r="V170" s="20" t="s">
        <v>43</v>
      </c>
      <c r="W170" s="20">
        <v>1</v>
      </c>
      <c r="X170" s="20">
        <v>0</v>
      </c>
    </row>
    <row r="171" spans="1:24">
      <c r="A171" s="64" t="str">
        <f t="shared" si="15"/>
        <v>Dilara Waxman</v>
      </c>
      <c r="B171" s="20" t="s">
        <v>625</v>
      </c>
      <c r="C171" s="20" t="s">
        <v>626</v>
      </c>
      <c r="D171" s="21" t="s">
        <v>627</v>
      </c>
      <c r="E171" s="65" t="s">
        <v>628</v>
      </c>
      <c r="F171" s="77">
        <v>21</v>
      </c>
      <c r="G171" s="65" t="s">
        <v>37</v>
      </c>
      <c r="J171" s="20" t="s">
        <v>493</v>
      </c>
      <c r="L171" s="20" t="s">
        <v>108</v>
      </c>
      <c r="N171" s="29">
        <v>43747</v>
      </c>
      <c r="O171" s="29">
        <v>43747</v>
      </c>
      <c r="P171" s="29" t="str">
        <f t="shared" si="16"/>
        <v>Y</v>
      </c>
      <c r="Q171" s="20">
        <v>14</v>
      </c>
      <c r="R171" s="78">
        <v>2</v>
      </c>
      <c r="T171" s="20">
        <v>1</v>
      </c>
      <c r="U171" s="20" t="s">
        <v>102</v>
      </c>
      <c r="V171" s="20" t="s">
        <v>43</v>
      </c>
      <c r="W171" s="20" t="s">
        <v>629</v>
      </c>
      <c r="X171" s="20">
        <v>0</v>
      </c>
    </row>
    <row r="172" spans="1:24">
      <c r="A172" s="64" t="str">
        <f t="shared" si="15"/>
        <v>Bridget Leneghan</v>
      </c>
      <c r="B172" s="20" t="s">
        <v>344</v>
      </c>
      <c r="C172" s="20" t="s">
        <v>630</v>
      </c>
      <c r="D172" s="21" t="s">
        <v>631</v>
      </c>
      <c r="E172" s="65" t="s">
        <v>632</v>
      </c>
      <c r="F172" s="77">
        <v>19</v>
      </c>
      <c r="J172" s="20" t="s">
        <v>493</v>
      </c>
      <c r="L172" s="20" t="s">
        <v>566</v>
      </c>
      <c r="N172" s="29">
        <v>43747</v>
      </c>
      <c r="O172" s="29">
        <v>43747</v>
      </c>
      <c r="P172" s="29" t="str">
        <f t="shared" si="16"/>
        <v>Y</v>
      </c>
      <c r="Q172" s="20">
        <v>20</v>
      </c>
      <c r="R172" s="78">
        <v>4</v>
      </c>
      <c r="T172" s="20">
        <v>2</v>
      </c>
      <c r="U172" s="20" t="s">
        <v>102</v>
      </c>
      <c r="V172" s="20" t="s">
        <v>43</v>
      </c>
      <c r="W172" s="20">
        <v>1</v>
      </c>
      <c r="X172" s="20">
        <v>0</v>
      </c>
    </row>
    <row r="173" spans="1:24">
      <c r="A173" s="64" t="str">
        <f t="shared" si="15"/>
        <v>Carley Calcao</v>
      </c>
      <c r="B173" s="20" t="s">
        <v>633</v>
      </c>
      <c r="C173" s="20" t="s">
        <v>634</v>
      </c>
      <c r="D173" s="21" t="s">
        <v>635</v>
      </c>
      <c r="E173" s="65">
        <v>4847074013</v>
      </c>
      <c r="F173" s="77">
        <v>18</v>
      </c>
      <c r="G173" s="65" t="s">
        <v>37</v>
      </c>
      <c r="J173" s="20" t="s">
        <v>493</v>
      </c>
      <c r="L173" s="20" t="s">
        <v>41</v>
      </c>
      <c r="N173" s="29">
        <v>43747</v>
      </c>
      <c r="O173" s="29">
        <v>43747</v>
      </c>
      <c r="P173" s="29" t="str">
        <f t="shared" si="16"/>
        <v>Y</v>
      </c>
      <c r="Q173" s="20">
        <v>12</v>
      </c>
      <c r="R173" s="78">
        <v>2</v>
      </c>
      <c r="T173" s="20">
        <v>1</v>
      </c>
      <c r="U173" s="20" t="s">
        <v>42</v>
      </c>
      <c r="V173" s="20" t="s">
        <v>43</v>
      </c>
    </row>
    <row r="174" spans="1:24">
      <c r="A174" s="81" t="str">
        <f>_xlfn.TEXTJOIN(" ",,B174,C174)</f>
        <v>David Acker</v>
      </c>
      <c r="B174" s="20" t="s">
        <v>636</v>
      </c>
      <c r="C174" s="20" t="s">
        <v>637</v>
      </c>
      <c r="D174" s="21" t="s">
        <v>638</v>
      </c>
      <c r="E174" s="65" t="s">
        <v>639</v>
      </c>
      <c r="F174" s="77">
        <v>21</v>
      </c>
      <c r="G174" s="65" t="s">
        <v>63</v>
      </c>
      <c r="J174" s="20" t="s">
        <v>64</v>
      </c>
      <c r="K174" s="20" t="s">
        <v>483</v>
      </c>
      <c r="L174" s="20" t="s">
        <v>41</v>
      </c>
      <c r="M174" s="20" t="s">
        <v>640</v>
      </c>
      <c r="N174" s="29">
        <v>43748</v>
      </c>
      <c r="O174" s="29">
        <v>43748</v>
      </c>
      <c r="P174" s="29" t="str">
        <f t="shared" si="16"/>
        <v>Y</v>
      </c>
      <c r="Q174" s="20">
        <v>42</v>
      </c>
      <c r="R174" s="78">
        <v>12</v>
      </c>
      <c r="T174" s="20">
        <v>7</v>
      </c>
      <c r="U174" s="20" t="s">
        <v>42</v>
      </c>
      <c r="V174" s="20" t="s">
        <v>641</v>
      </c>
    </row>
    <row r="175" spans="1:24">
      <c r="A175" s="64" t="str">
        <f t="shared" si="15"/>
        <v>Emma Stockham</v>
      </c>
      <c r="B175" s="20" t="s">
        <v>589</v>
      </c>
      <c r="C175" s="20" t="s">
        <v>642</v>
      </c>
      <c r="D175" s="21" t="s">
        <v>643</v>
      </c>
      <c r="E175" s="65">
        <v>5407794441</v>
      </c>
      <c r="F175" s="77">
        <v>18</v>
      </c>
      <c r="G175" s="65" t="s">
        <v>37</v>
      </c>
      <c r="J175" s="20" t="s">
        <v>493</v>
      </c>
      <c r="L175" s="20" t="s">
        <v>41</v>
      </c>
      <c r="N175" s="29">
        <v>43747</v>
      </c>
      <c r="O175" s="29">
        <v>43748</v>
      </c>
      <c r="P175" s="29" t="str">
        <f t="shared" si="16"/>
        <v>Y</v>
      </c>
      <c r="Q175" s="20">
        <v>27</v>
      </c>
      <c r="R175" s="78">
        <v>9</v>
      </c>
      <c r="T175" s="20">
        <v>8</v>
      </c>
      <c r="U175" s="20" t="s">
        <v>42</v>
      </c>
      <c r="V175" s="20" t="s">
        <v>43</v>
      </c>
    </row>
    <row r="176" spans="1:24">
      <c r="A176" s="64" t="str">
        <f t="shared" si="15"/>
        <v>Deismy Jimenez</v>
      </c>
      <c r="B176" s="20" t="s">
        <v>644</v>
      </c>
      <c r="C176" s="20" t="s">
        <v>645</v>
      </c>
      <c r="D176" s="21" t="s">
        <v>646</v>
      </c>
      <c r="E176" s="65" t="s">
        <v>647</v>
      </c>
      <c r="F176" s="77">
        <v>19</v>
      </c>
      <c r="G176" s="65" t="s">
        <v>37</v>
      </c>
      <c r="J176" s="20" t="s">
        <v>64</v>
      </c>
      <c r="K176" s="20" t="s">
        <v>507</v>
      </c>
      <c r="L176" s="20" t="s">
        <v>41</v>
      </c>
      <c r="N176" s="29">
        <v>43749</v>
      </c>
      <c r="O176" s="29">
        <v>43750</v>
      </c>
      <c r="P176" s="29" t="str">
        <f t="shared" si="16"/>
        <v>Y</v>
      </c>
      <c r="Q176" s="20">
        <v>41</v>
      </c>
      <c r="R176" s="78">
        <v>9</v>
      </c>
      <c r="T176" s="20">
        <v>11</v>
      </c>
      <c r="U176" s="20" t="s">
        <v>42</v>
      </c>
      <c r="V176" s="20" t="s">
        <v>641</v>
      </c>
    </row>
    <row r="177" spans="1:22" ht="17">
      <c r="A177" s="64" t="str">
        <f t="shared" si="15"/>
        <v>Adrien Fourneaux</v>
      </c>
      <c r="B177" s="20" t="s">
        <v>648</v>
      </c>
      <c r="C177" s="73" t="s">
        <v>649</v>
      </c>
      <c r="D177" s="21" t="s">
        <v>650</v>
      </c>
      <c r="L177" s="20" t="s">
        <v>136</v>
      </c>
      <c r="N177" s="29">
        <v>43752</v>
      </c>
      <c r="P177" s="29" t="str">
        <f t="shared" si="16"/>
        <v>N</v>
      </c>
    </row>
    <row r="178" spans="1:22">
      <c r="A178" s="64" t="str">
        <f t="shared" si="15"/>
        <v>Julia Evans</v>
      </c>
      <c r="B178" s="20" t="s">
        <v>651</v>
      </c>
      <c r="C178" s="20" t="s">
        <v>652</v>
      </c>
      <c r="D178" s="21" t="s">
        <v>653</v>
      </c>
      <c r="E178" s="65" t="s">
        <v>654</v>
      </c>
      <c r="F178" s="77">
        <v>19</v>
      </c>
      <c r="G178" s="65" t="s">
        <v>37</v>
      </c>
      <c r="J178" s="20" t="s">
        <v>64</v>
      </c>
      <c r="K178" s="20" t="s">
        <v>655</v>
      </c>
      <c r="L178" s="20" t="s">
        <v>41</v>
      </c>
      <c r="N178" s="29">
        <v>43752</v>
      </c>
      <c r="O178" s="29">
        <v>43752</v>
      </c>
      <c r="P178" s="29" t="str">
        <f t="shared" si="16"/>
        <v>Y</v>
      </c>
      <c r="Q178" s="20">
        <v>26</v>
      </c>
      <c r="R178" s="78">
        <v>4</v>
      </c>
      <c r="T178" s="20">
        <v>7</v>
      </c>
      <c r="U178" s="20" t="s">
        <v>42</v>
      </c>
      <c r="V178" s="20" t="s">
        <v>641</v>
      </c>
    </row>
    <row r="179" spans="1:22">
      <c r="A179" s="64" t="str">
        <f t="shared" si="15"/>
        <v>Da Hyun Kim</v>
      </c>
      <c r="B179" s="20" t="s">
        <v>656</v>
      </c>
      <c r="C179" s="20" t="s">
        <v>657</v>
      </c>
      <c r="D179" s="21" t="s">
        <v>658</v>
      </c>
      <c r="L179" s="20" t="s">
        <v>136</v>
      </c>
      <c r="N179" s="29">
        <v>43752</v>
      </c>
      <c r="P179" s="29" t="str">
        <f t="shared" si="16"/>
        <v>N</v>
      </c>
    </row>
    <row r="180" spans="1:22">
      <c r="A180" s="64" t="str">
        <f t="shared" si="15"/>
        <v>Stella Talamo</v>
      </c>
      <c r="B180" s="20" t="s">
        <v>659</v>
      </c>
      <c r="C180" s="20" t="s">
        <v>660</v>
      </c>
      <c r="D180" s="21" t="s">
        <v>661</v>
      </c>
      <c r="E180" s="65" t="s">
        <v>662</v>
      </c>
      <c r="F180" s="77">
        <v>21</v>
      </c>
      <c r="G180" s="65" t="s">
        <v>37</v>
      </c>
      <c r="J180" s="20" t="s">
        <v>40</v>
      </c>
      <c r="L180" s="20" t="s">
        <v>108</v>
      </c>
      <c r="N180" s="29">
        <v>43752</v>
      </c>
      <c r="O180" s="29">
        <v>43753</v>
      </c>
      <c r="P180" s="29" t="str">
        <f t="shared" si="16"/>
        <v>Y</v>
      </c>
      <c r="Q180" s="20">
        <v>21</v>
      </c>
      <c r="R180" s="78">
        <v>4</v>
      </c>
      <c r="T180" s="20">
        <v>4</v>
      </c>
      <c r="U180" s="20" t="s">
        <v>102</v>
      </c>
      <c r="V180" s="20" t="s">
        <v>641</v>
      </c>
    </row>
    <row r="181" spans="1:22">
      <c r="A181" s="89" t="str">
        <f t="shared" si="15"/>
        <v>Erin Lis</v>
      </c>
      <c r="B181" s="20" t="s">
        <v>104</v>
      </c>
      <c r="C181" s="20" t="s">
        <v>663</v>
      </c>
      <c r="D181" s="21" t="s">
        <v>664</v>
      </c>
      <c r="E181" s="65" t="s">
        <v>665</v>
      </c>
      <c r="F181" s="77">
        <v>23</v>
      </c>
      <c r="G181" s="65" t="s">
        <v>37</v>
      </c>
      <c r="J181" s="20" t="s">
        <v>64</v>
      </c>
      <c r="L181" s="29" t="s">
        <v>108</v>
      </c>
      <c r="M181" s="20" t="s">
        <v>666</v>
      </c>
      <c r="N181" s="29">
        <v>43753</v>
      </c>
      <c r="O181" s="29">
        <v>43753</v>
      </c>
      <c r="P181" s="29" t="str">
        <f t="shared" si="16"/>
        <v>Y</v>
      </c>
    </row>
    <row r="182" spans="1:22">
      <c r="A182" s="64" t="str">
        <f t="shared" si="15"/>
        <v>Lauren Karenbauer</v>
      </c>
      <c r="B182" s="20" t="s">
        <v>667</v>
      </c>
      <c r="C182" s="20" t="s">
        <v>668</v>
      </c>
      <c r="D182" s="21" t="s">
        <v>669</v>
      </c>
      <c r="E182" s="65" t="s">
        <v>670</v>
      </c>
      <c r="F182" s="77">
        <v>21</v>
      </c>
      <c r="G182" s="65" t="s">
        <v>37</v>
      </c>
      <c r="H182" s="20" t="s">
        <v>40</v>
      </c>
      <c r="J182" s="20" t="s">
        <v>40</v>
      </c>
      <c r="L182" s="29" t="s">
        <v>108</v>
      </c>
      <c r="M182" s="29"/>
      <c r="N182" s="29">
        <v>43753</v>
      </c>
      <c r="O182" s="29">
        <v>43753</v>
      </c>
      <c r="P182" s="29" t="str">
        <f t="shared" si="16"/>
        <v>Y</v>
      </c>
      <c r="Q182" s="20">
        <v>25</v>
      </c>
      <c r="R182" s="78">
        <v>8</v>
      </c>
      <c r="S182" s="78" t="s">
        <v>641</v>
      </c>
      <c r="T182" s="20">
        <v>6</v>
      </c>
      <c r="U182" s="20" t="s">
        <v>102</v>
      </c>
      <c r="V182" s="20" t="s">
        <v>641</v>
      </c>
    </row>
    <row r="183" spans="1:22">
      <c r="A183" s="64" t="str">
        <f t="shared" si="15"/>
        <v>Emily Buehler</v>
      </c>
      <c r="B183" s="20" t="s">
        <v>149</v>
      </c>
      <c r="C183" s="20" t="s">
        <v>671</v>
      </c>
      <c r="D183" s="21" t="s">
        <v>672</v>
      </c>
      <c r="L183" s="20" t="s">
        <v>136</v>
      </c>
      <c r="N183" s="29">
        <v>43753</v>
      </c>
      <c r="P183" s="29" t="str">
        <f t="shared" si="16"/>
        <v>N</v>
      </c>
    </row>
    <row r="184" spans="1:22">
      <c r="A184" s="64" t="str">
        <f t="shared" si="15"/>
        <v>Alyssa Connell</v>
      </c>
      <c r="B184" s="20" t="s">
        <v>567</v>
      </c>
      <c r="C184" s="20" t="s">
        <v>673</v>
      </c>
      <c r="D184" s="21" t="s">
        <v>674</v>
      </c>
      <c r="E184" s="65" t="s">
        <v>675</v>
      </c>
      <c r="F184" s="77">
        <v>18</v>
      </c>
      <c r="G184" s="65" t="s">
        <v>37</v>
      </c>
      <c r="J184" s="20" t="s">
        <v>493</v>
      </c>
      <c r="L184" s="20" t="s">
        <v>108</v>
      </c>
      <c r="N184" s="29">
        <v>43751</v>
      </c>
      <c r="O184" s="29">
        <v>43753</v>
      </c>
      <c r="P184" s="29" t="str">
        <f t="shared" si="16"/>
        <v>Y</v>
      </c>
      <c r="Q184" s="20">
        <v>13</v>
      </c>
      <c r="R184" s="78">
        <v>4</v>
      </c>
      <c r="T184" s="20">
        <v>2</v>
      </c>
      <c r="U184" s="20" t="s">
        <v>102</v>
      </c>
      <c r="V184" s="20" t="s">
        <v>641</v>
      </c>
    </row>
    <row r="185" spans="1:22">
      <c r="A185" s="64" t="str">
        <f t="shared" si="15"/>
        <v>Alayna Null</v>
      </c>
      <c r="B185" s="20" t="s">
        <v>676</v>
      </c>
      <c r="C185" s="20" t="s">
        <v>677</v>
      </c>
      <c r="D185" s="21" t="s">
        <v>678</v>
      </c>
      <c r="L185" s="20" t="s">
        <v>136</v>
      </c>
      <c r="N185" s="29">
        <v>43754</v>
      </c>
      <c r="P185" s="29" t="str">
        <f t="shared" si="16"/>
        <v>N</v>
      </c>
    </row>
    <row r="186" spans="1:22">
      <c r="A186" s="64" t="str">
        <f t="shared" si="15"/>
        <v>Damon Jenkins</v>
      </c>
      <c r="B186" s="20" t="s">
        <v>679</v>
      </c>
      <c r="C186" s="20" t="s">
        <v>680</v>
      </c>
      <c r="D186" s="21" t="s">
        <v>681</v>
      </c>
      <c r="E186" s="65" t="s">
        <v>682</v>
      </c>
      <c r="L186" s="20" t="s">
        <v>136</v>
      </c>
      <c r="N186" s="29">
        <v>43754</v>
      </c>
      <c r="P186" s="29" t="str">
        <f t="shared" si="16"/>
        <v>N</v>
      </c>
    </row>
    <row r="187" spans="1:22" ht="15" customHeight="1">
      <c r="A187" s="64" t="str">
        <f t="shared" si="15"/>
        <v>Kara Ristey</v>
      </c>
      <c r="B187" s="20" t="s">
        <v>683</v>
      </c>
      <c r="C187" s="20" t="s">
        <v>684</v>
      </c>
      <c r="D187" s="21" t="s">
        <v>685</v>
      </c>
      <c r="E187" s="65" t="s">
        <v>686</v>
      </c>
      <c r="F187" s="77">
        <v>18</v>
      </c>
      <c r="G187" s="65" t="s">
        <v>37</v>
      </c>
      <c r="J187" s="20" t="s">
        <v>581</v>
      </c>
      <c r="L187" s="20" t="s">
        <v>41</v>
      </c>
      <c r="N187" s="29">
        <v>43751</v>
      </c>
      <c r="O187" s="29">
        <v>43753</v>
      </c>
      <c r="P187" s="29" t="str">
        <f t="shared" si="16"/>
        <v>Y</v>
      </c>
      <c r="Q187" s="20">
        <v>11</v>
      </c>
      <c r="R187" s="78">
        <v>3</v>
      </c>
      <c r="T187" s="20">
        <v>0</v>
      </c>
      <c r="U187" s="20" t="s">
        <v>42</v>
      </c>
      <c r="V187" s="20" t="s">
        <v>641</v>
      </c>
    </row>
    <row r="188" spans="1:22">
      <c r="A188" s="64" t="str">
        <f t="shared" si="15"/>
        <v>Grace McKenna</v>
      </c>
      <c r="B188" s="20" t="s">
        <v>622</v>
      </c>
      <c r="C188" s="20" t="s">
        <v>687</v>
      </c>
      <c r="D188" s="21" t="s">
        <v>688</v>
      </c>
      <c r="F188" s="77">
        <v>18</v>
      </c>
      <c r="G188" s="65" t="s">
        <v>37</v>
      </c>
      <c r="J188" s="20" t="s">
        <v>64</v>
      </c>
      <c r="K188" s="20" t="s">
        <v>359</v>
      </c>
      <c r="L188" s="20" t="s">
        <v>108</v>
      </c>
      <c r="N188" s="29">
        <v>43754</v>
      </c>
      <c r="O188" s="29">
        <v>43754</v>
      </c>
      <c r="P188" s="29" t="str">
        <f t="shared" si="16"/>
        <v>Y</v>
      </c>
      <c r="Q188" s="20">
        <v>31</v>
      </c>
      <c r="R188" s="78">
        <v>9</v>
      </c>
      <c r="T188" s="20">
        <v>4</v>
      </c>
      <c r="U188" s="20" t="s">
        <v>102</v>
      </c>
      <c r="V188" s="20" t="s">
        <v>641</v>
      </c>
    </row>
    <row r="189" spans="1:22">
      <c r="A189" s="64" t="str">
        <f t="shared" si="15"/>
        <v>Myeong Hwak Choe</v>
      </c>
      <c r="B189" s="20" t="s">
        <v>689</v>
      </c>
      <c r="C189" s="20" t="s">
        <v>690</v>
      </c>
      <c r="D189" s="21" t="s">
        <v>691</v>
      </c>
      <c r="E189" s="65" t="s">
        <v>692</v>
      </c>
      <c r="F189" s="77">
        <v>18</v>
      </c>
      <c r="G189" s="65" t="s">
        <v>37</v>
      </c>
      <c r="J189" s="20" t="s">
        <v>64</v>
      </c>
      <c r="K189" s="20" t="s">
        <v>655</v>
      </c>
      <c r="L189" s="20" t="s">
        <v>108</v>
      </c>
      <c r="N189" s="29">
        <v>43754</v>
      </c>
      <c r="O189" s="29">
        <v>43754</v>
      </c>
      <c r="P189" s="29" t="str">
        <f t="shared" si="16"/>
        <v>Y</v>
      </c>
      <c r="Q189" s="20">
        <v>35</v>
      </c>
      <c r="R189" s="78">
        <v>12</v>
      </c>
      <c r="T189" s="20">
        <v>4</v>
      </c>
      <c r="U189" s="20" t="s">
        <v>102</v>
      </c>
      <c r="V189" s="20" t="s">
        <v>641</v>
      </c>
    </row>
    <row r="190" spans="1:22">
      <c r="A190" s="64" t="str">
        <f>_xlfn.TEXTJOIN(" ",,B190,C190)</f>
        <v>Ashli Starks</v>
      </c>
      <c r="B190" s="20" t="s">
        <v>693</v>
      </c>
      <c r="C190" s="20" t="s">
        <v>694</v>
      </c>
      <c r="D190" s="21" t="s">
        <v>695</v>
      </c>
      <c r="L190" s="20" t="s">
        <v>136</v>
      </c>
      <c r="N190" s="29">
        <v>43753</v>
      </c>
      <c r="P190" s="29" t="str">
        <f t="shared" si="16"/>
        <v>N</v>
      </c>
    </row>
    <row r="191" spans="1:22">
      <c r="A191" s="64" t="str">
        <f t="shared" ref="A191:A253" si="17">_xlfn.TEXTJOIN(" ",,B191,C191)</f>
        <v>Stephanie Michaud</v>
      </c>
      <c r="B191" s="20" t="s">
        <v>541</v>
      </c>
      <c r="C191" s="20" t="s">
        <v>1588</v>
      </c>
      <c r="D191" s="21" t="s">
        <v>1589</v>
      </c>
      <c r="E191" s="67">
        <v>8149332433</v>
      </c>
      <c r="F191" s="77">
        <v>23</v>
      </c>
      <c r="G191" s="65" t="s">
        <v>37</v>
      </c>
      <c r="J191" s="20" t="s">
        <v>64</v>
      </c>
      <c r="L191" s="20" t="s">
        <v>41</v>
      </c>
      <c r="N191" s="29">
        <v>43755</v>
      </c>
      <c r="O191" s="29">
        <v>43755</v>
      </c>
      <c r="P191" s="29" t="str">
        <f t="shared" si="16"/>
        <v>Y</v>
      </c>
      <c r="Q191" s="20">
        <v>38</v>
      </c>
      <c r="R191" s="78">
        <v>10</v>
      </c>
      <c r="T191" s="20">
        <v>10</v>
      </c>
      <c r="U191" s="20" t="s">
        <v>42</v>
      </c>
      <c r="V191" s="20" t="s">
        <v>534</v>
      </c>
    </row>
    <row r="192" spans="1:22">
      <c r="A192" s="64" t="str">
        <f t="shared" si="17"/>
        <v>Tricia Zechman</v>
      </c>
      <c r="B192" s="20" t="s">
        <v>1591</v>
      </c>
      <c r="C192" s="20" t="s">
        <v>1592</v>
      </c>
      <c r="D192" s="21" t="s">
        <v>1593</v>
      </c>
      <c r="J192" s="20" t="s">
        <v>49</v>
      </c>
      <c r="L192" s="20" t="s">
        <v>136</v>
      </c>
      <c r="N192" s="29">
        <v>43759</v>
      </c>
      <c r="P192" s="29" t="str">
        <f t="shared" si="16"/>
        <v>N</v>
      </c>
    </row>
    <row r="193" spans="1:22">
      <c r="A193" s="64" t="str">
        <f t="shared" si="17"/>
        <v>Bryce Thompson</v>
      </c>
      <c r="B193" s="20" t="s">
        <v>186</v>
      </c>
      <c r="C193" s="20" t="s">
        <v>1594</v>
      </c>
      <c r="D193" s="21" t="s">
        <v>1595</v>
      </c>
      <c r="J193" s="20" t="s">
        <v>49</v>
      </c>
      <c r="L193" s="20" t="s">
        <v>136</v>
      </c>
      <c r="N193" s="29">
        <v>43759</v>
      </c>
      <c r="P193" s="29" t="str">
        <f t="shared" si="16"/>
        <v>N</v>
      </c>
    </row>
    <row r="194" spans="1:22">
      <c r="A194" s="64" t="str">
        <f t="shared" si="17"/>
        <v>Joe Guda</v>
      </c>
      <c r="B194" s="20" t="s">
        <v>1596</v>
      </c>
      <c r="C194" s="20" t="s">
        <v>1597</v>
      </c>
      <c r="D194" s="21" t="s">
        <v>1598</v>
      </c>
      <c r="J194" s="20" t="s">
        <v>49</v>
      </c>
      <c r="L194" s="20" t="s">
        <v>136</v>
      </c>
      <c r="N194" s="29">
        <v>43759</v>
      </c>
      <c r="P194" s="29" t="str">
        <f t="shared" si="16"/>
        <v>N</v>
      </c>
    </row>
    <row r="195" spans="1:22">
      <c r="A195" s="64" t="str">
        <f t="shared" si="17"/>
        <v>Abigail Kerr</v>
      </c>
      <c r="B195" s="20" t="s">
        <v>312</v>
      </c>
      <c r="C195" s="20" t="s">
        <v>1599</v>
      </c>
      <c r="D195" s="21" t="s">
        <v>1600</v>
      </c>
      <c r="J195" s="20" t="s">
        <v>49</v>
      </c>
      <c r="L195" s="20" t="s">
        <v>136</v>
      </c>
      <c r="N195" s="29">
        <v>43759</v>
      </c>
      <c r="P195" s="29" t="str">
        <f t="shared" si="16"/>
        <v>N</v>
      </c>
    </row>
    <row r="196" spans="1:22">
      <c r="A196" s="64" t="str">
        <f t="shared" si="17"/>
        <v>Evan Snyder</v>
      </c>
      <c r="B196" s="20" t="s">
        <v>999</v>
      </c>
      <c r="C196" s="20" t="s">
        <v>72</v>
      </c>
      <c r="D196" s="21" t="s">
        <v>1604</v>
      </c>
      <c r="J196" s="20" t="s">
        <v>49</v>
      </c>
      <c r="L196" s="20" t="s">
        <v>136</v>
      </c>
      <c r="N196" s="29">
        <v>43759</v>
      </c>
      <c r="P196" s="29" t="str">
        <f t="shared" si="16"/>
        <v>N</v>
      </c>
    </row>
    <row r="197" spans="1:22">
      <c r="A197" s="64" t="str">
        <f t="shared" si="17"/>
        <v>Mackenzie Moyer</v>
      </c>
      <c r="B197" s="20" t="s">
        <v>1602</v>
      </c>
      <c r="C197" s="20" t="s">
        <v>1603</v>
      </c>
      <c r="D197" s="21" t="s">
        <v>1601</v>
      </c>
      <c r="J197" s="20" t="s">
        <v>49</v>
      </c>
      <c r="L197" s="20" t="s">
        <v>136</v>
      </c>
      <c r="N197" s="29">
        <v>43759</v>
      </c>
      <c r="P197" s="29" t="str">
        <f t="shared" si="16"/>
        <v>N</v>
      </c>
    </row>
    <row r="198" spans="1:22">
      <c r="A198" s="64" t="str">
        <f t="shared" si="17"/>
        <v>Alexis Wasson</v>
      </c>
      <c r="B198" s="20" t="s">
        <v>785</v>
      </c>
      <c r="C198" s="20" t="s">
        <v>1606</v>
      </c>
      <c r="D198" s="21" t="s">
        <v>1605</v>
      </c>
      <c r="E198" s="65">
        <v>8145742854</v>
      </c>
      <c r="F198" s="77">
        <v>23</v>
      </c>
      <c r="G198" s="65" t="s">
        <v>37</v>
      </c>
      <c r="J198" s="20" t="s">
        <v>40</v>
      </c>
      <c r="L198" s="20" t="s">
        <v>41</v>
      </c>
      <c r="N198" s="29">
        <v>43759</v>
      </c>
      <c r="O198" s="29">
        <v>43760</v>
      </c>
      <c r="P198" s="29" t="str">
        <f t="shared" si="16"/>
        <v>Y</v>
      </c>
      <c r="Q198" s="20">
        <v>51</v>
      </c>
      <c r="R198" s="78">
        <v>15</v>
      </c>
      <c r="T198" s="20">
        <v>10</v>
      </c>
      <c r="U198" s="20" t="s">
        <v>42</v>
      </c>
      <c r="V198" s="20" t="s">
        <v>43</v>
      </c>
    </row>
    <row r="199" spans="1:22">
      <c r="A199" s="64" t="str">
        <f t="shared" si="17"/>
        <v>Savannah Olimpo</v>
      </c>
      <c r="B199" s="20" t="s">
        <v>1608</v>
      </c>
      <c r="C199" s="20" t="s">
        <v>1630</v>
      </c>
      <c r="D199" s="21" t="s">
        <v>1607</v>
      </c>
      <c r="F199" s="77">
        <v>23</v>
      </c>
      <c r="G199" s="65" t="s">
        <v>37</v>
      </c>
      <c r="J199" s="20" t="s">
        <v>40</v>
      </c>
      <c r="L199" s="20" t="s">
        <v>41</v>
      </c>
      <c r="N199" s="29">
        <v>43759</v>
      </c>
      <c r="O199" s="29">
        <v>43760</v>
      </c>
      <c r="P199" s="29" t="str">
        <f t="shared" si="16"/>
        <v>Y</v>
      </c>
      <c r="Q199" s="20">
        <v>8</v>
      </c>
      <c r="R199" s="78">
        <v>2</v>
      </c>
      <c r="T199" s="20">
        <v>1</v>
      </c>
      <c r="U199" s="20" t="s">
        <v>705</v>
      </c>
      <c r="V199" s="20" t="s">
        <v>534</v>
      </c>
    </row>
    <row r="200" spans="1:22">
      <c r="A200" s="64" t="str">
        <f t="shared" si="17"/>
        <v>Tyler Peters</v>
      </c>
      <c r="B200" s="20" t="s">
        <v>1610</v>
      </c>
      <c r="C200" s="20" t="s">
        <v>1611</v>
      </c>
      <c r="D200" s="21" t="s">
        <v>1612</v>
      </c>
      <c r="J200" s="20" t="s">
        <v>49</v>
      </c>
      <c r="L200" s="20" t="s">
        <v>136</v>
      </c>
      <c r="N200" s="29">
        <v>43759</v>
      </c>
      <c r="P200" s="29" t="str">
        <f t="shared" si="16"/>
        <v>N</v>
      </c>
    </row>
    <row r="201" spans="1:22">
      <c r="A201" s="64" t="str">
        <f t="shared" si="17"/>
        <v>Jordan Sugg</v>
      </c>
      <c r="B201" s="20" t="s">
        <v>1613</v>
      </c>
      <c r="C201" s="20" t="s">
        <v>1614</v>
      </c>
      <c r="D201" s="21" t="s">
        <v>1615</v>
      </c>
      <c r="E201" s="67">
        <v>8143084445</v>
      </c>
      <c r="F201" s="77">
        <v>23</v>
      </c>
      <c r="G201" s="65" t="s">
        <v>37</v>
      </c>
      <c r="J201" s="20" t="s">
        <v>49</v>
      </c>
      <c r="L201" s="20" t="s">
        <v>108</v>
      </c>
      <c r="N201" s="29">
        <v>43759</v>
      </c>
      <c r="O201" s="29">
        <v>43759</v>
      </c>
      <c r="P201" s="29" t="str">
        <f t="shared" si="16"/>
        <v>Y</v>
      </c>
      <c r="Q201" s="20">
        <v>24</v>
      </c>
      <c r="R201" s="78">
        <v>5</v>
      </c>
      <c r="T201" s="20">
        <v>2</v>
      </c>
      <c r="U201" s="20" t="s">
        <v>708</v>
      </c>
      <c r="V201" s="20" t="s">
        <v>534</v>
      </c>
    </row>
    <row r="202" spans="1:22">
      <c r="A202" s="64" t="str">
        <f t="shared" si="17"/>
        <v>Ashli Starks</v>
      </c>
      <c r="B202" s="20" t="s">
        <v>693</v>
      </c>
      <c r="C202" s="20" t="s">
        <v>694</v>
      </c>
      <c r="D202" s="21" t="s">
        <v>695</v>
      </c>
      <c r="J202" s="20" t="s">
        <v>49</v>
      </c>
      <c r="L202" s="20" t="s">
        <v>136</v>
      </c>
      <c r="N202" s="29">
        <v>43759</v>
      </c>
      <c r="P202" s="29" t="str">
        <f t="shared" si="16"/>
        <v>N</v>
      </c>
    </row>
    <row r="203" spans="1:22">
      <c r="A203" s="64" t="str">
        <f t="shared" si="17"/>
        <v>Alayna Null</v>
      </c>
      <c r="B203" s="20" t="s">
        <v>676</v>
      </c>
      <c r="C203" s="20" t="s">
        <v>677</v>
      </c>
      <c r="D203" s="21" t="s">
        <v>678</v>
      </c>
      <c r="J203" s="20" t="s">
        <v>49</v>
      </c>
      <c r="L203" s="20" t="s">
        <v>136</v>
      </c>
      <c r="N203" s="29">
        <v>43759</v>
      </c>
      <c r="P203" s="29" t="str">
        <f t="shared" si="16"/>
        <v>N</v>
      </c>
    </row>
    <row r="204" spans="1:22">
      <c r="A204" s="64" t="str">
        <f t="shared" si="17"/>
        <v>Madelynn Castles</v>
      </c>
      <c r="B204" s="20" t="s">
        <v>1617</v>
      </c>
      <c r="C204" s="20" t="s">
        <v>1618</v>
      </c>
      <c r="D204" s="21" t="s">
        <v>1616</v>
      </c>
      <c r="J204" s="20" t="s">
        <v>49</v>
      </c>
      <c r="L204" s="20" t="s">
        <v>136</v>
      </c>
      <c r="N204" s="29">
        <v>43759</v>
      </c>
      <c r="P204" s="29" t="str">
        <f t="shared" si="16"/>
        <v>N</v>
      </c>
    </row>
    <row r="205" spans="1:22">
      <c r="A205" s="64" t="str">
        <f t="shared" si="17"/>
        <v>Matthiew Haines</v>
      </c>
      <c r="B205" s="20" t="s">
        <v>1619</v>
      </c>
      <c r="C205" s="20" t="s">
        <v>1620</v>
      </c>
      <c r="D205" s="21" t="s">
        <v>1621</v>
      </c>
      <c r="E205" s="67">
        <v>7172506814</v>
      </c>
      <c r="F205" s="28">
        <v>20</v>
      </c>
      <c r="G205" s="65" t="s">
        <v>63</v>
      </c>
      <c r="J205" s="20" t="s">
        <v>49</v>
      </c>
      <c r="L205" s="20" t="s">
        <v>136</v>
      </c>
      <c r="N205" s="29">
        <v>43759</v>
      </c>
      <c r="O205" s="29">
        <v>43759</v>
      </c>
      <c r="P205" s="29" t="str">
        <f t="shared" si="16"/>
        <v>Y</v>
      </c>
      <c r="Q205" s="20">
        <v>29</v>
      </c>
      <c r="R205" s="78">
        <v>8</v>
      </c>
      <c r="T205" s="20">
        <v>3</v>
      </c>
      <c r="U205" s="20" t="s">
        <v>708</v>
      </c>
      <c r="V205" s="20" t="s">
        <v>534</v>
      </c>
    </row>
    <row r="206" spans="1:22">
      <c r="A206" s="64" t="str">
        <f t="shared" si="17"/>
        <v>Legend Cox</v>
      </c>
      <c r="B206" s="20" t="s">
        <v>1622</v>
      </c>
      <c r="C206" s="20" t="s">
        <v>1623</v>
      </c>
      <c r="D206" s="21" t="s">
        <v>1624</v>
      </c>
      <c r="J206" s="20" t="s">
        <v>49</v>
      </c>
      <c r="L206" s="20" t="s">
        <v>136</v>
      </c>
      <c r="N206" s="29">
        <v>43759</v>
      </c>
      <c r="P206" s="29" t="str">
        <f t="shared" si="16"/>
        <v>N</v>
      </c>
    </row>
    <row r="207" spans="1:22">
      <c r="A207" s="64" t="str">
        <f t="shared" si="17"/>
        <v>Brandon Peck</v>
      </c>
      <c r="B207" s="20" t="s">
        <v>177</v>
      </c>
      <c r="C207" s="20" t="s">
        <v>178</v>
      </c>
      <c r="D207" s="21" t="s">
        <v>179</v>
      </c>
      <c r="J207" s="20" t="s">
        <v>49</v>
      </c>
      <c r="L207" s="20" t="s">
        <v>136</v>
      </c>
      <c r="N207" s="29">
        <v>43759</v>
      </c>
      <c r="P207" s="29" t="str">
        <f t="shared" si="16"/>
        <v>N</v>
      </c>
    </row>
    <row r="208" spans="1:22">
      <c r="A208" s="64" t="str">
        <f t="shared" si="17"/>
        <v>Sarah Isenberg</v>
      </c>
      <c r="B208" s="20" t="s">
        <v>128</v>
      </c>
      <c r="C208" s="20" t="s">
        <v>1625</v>
      </c>
      <c r="D208" s="21" t="s">
        <v>1628</v>
      </c>
      <c r="J208" s="20" t="s">
        <v>49</v>
      </c>
      <c r="L208" s="20" t="s">
        <v>136</v>
      </c>
      <c r="N208" s="29">
        <v>43759</v>
      </c>
      <c r="P208" s="29" t="str">
        <f t="shared" si="16"/>
        <v>N</v>
      </c>
    </row>
    <row r="209" spans="1:24">
      <c r="A209" s="64" t="str">
        <f t="shared" si="17"/>
        <v>Amanda Amodeo</v>
      </c>
      <c r="B209" s="20" t="s">
        <v>809</v>
      </c>
      <c r="C209" s="20" t="s">
        <v>1626</v>
      </c>
      <c r="D209" s="21" t="s">
        <v>1627</v>
      </c>
      <c r="J209" s="20" t="s">
        <v>49</v>
      </c>
      <c r="L209" s="20" t="s">
        <v>136</v>
      </c>
      <c r="N209" s="29">
        <v>43759</v>
      </c>
      <c r="P209" s="29" t="str">
        <f t="shared" si="16"/>
        <v>N</v>
      </c>
    </row>
    <row r="210" spans="1:24">
      <c r="A210" s="64" t="str">
        <f t="shared" si="17"/>
        <v>Coleman Cush</v>
      </c>
      <c r="B210" s="20" t="s">
        <v>907</v>
      </c>
      <c r="C210" s="20" t="s">
        <v>908</v>
      </c>
      <c r="D210" s="28" t="s">
        <v>909</v>
      </c>
      <c r="E210" s="67">
        <v>5703364488</v>
      </c>
      <c r="F210" s="77">
        <v>18</v>
      </c>
      <c r="G210" s="65" t="s">
        <v>63</v>
      </c>
      <c r="J210" s="20" t="s">
        <v>493</v>
      </c>
      <c r="L210" s="20" t="s">
        <v>41</v>
      </c>
      <c r="N210" s="29">
        <v>43759</v>
      </c>
      <c r="O210" s="29">
        <v>43759</v>
      </c>
      <c r="P210" s="29" t="str">
        <f t="shared" si="16"/>
        <v>Y</v>
      </c>
      <c r="Q210" s="20">
        <v>11</v>
      </c>
      <c r="R210" s="78">
        <v>0</v>
      </c>
      <c r="T210" s="20">
        <v>3</v>
      </c>
      <c r="U210" s="20" t="s">
        <v>42</v>
      </c>
      <c r="V210" s="20" t="s">
        <v>534</v>
      </c>
    </row>
    <row r="211" spans="1:24">
      <c r="A211" s="64" t="str">
        <f t="shared" si="17"/>
        <v>Morgan Fassero</v>
      </c>
      <c r="B211" s="20" t="s">
        <v>373</v>
      </c>
      <c r="C211" s="20" t="s">
        <v>1256</v>
      </c>
      <c r="D211" s="28" t="s">
        <v>1257</v>
      </c>
      <c r="E211" s="67" t="s">
        <v>1258</v>
      </c>
      <c r="F211" s="77">
        <v>18</v>
      </c>
      <c r="G211" s="65" t="s">
        <v>37</v>
      </c>
      <c r="J211" s="20" t="s">
        <v>493</v>
      </c>
      <c r="L211" s="20" t="s">
        <v>41</v>
      </c>
      <c r="N211" s="29">
        <v>43759</v>
      </c>
      <c r="O211" s="29">
        <v>43759</v>
      </c>
      <c r="P211" s="29" t="str">
        <f t="shared" si="16"/>
        <v>Y</v>
      </c>
      <c r="Q211" s="20">
        <v>9</v>
      </c>
      <c r="R211" s="78">
        <v>3</v>
      </c>
      <c r="T211" s="20">
        <v>2</v>
      </c>
      <c r="U211" s="20" t="s">
        <v>42</v>
      </c>
      <c r="V211" s="20" t="s">
        <v>534</v>
      </c>
    </row>
    <row r="212" spans="1:24">
      <c r="A212" s="64" t="str">
        <f t="shared" si="17"/>
        <v>Nicole Rosenthal</v>
      </c>
      <c r="B212" s="20" t="s">
        <v>1267</v>
      </c>
      <c r="C212" s="20" t="s">
        <v>1270</v>
      </c>
      <c r="D212" s="28" t="s">
        <v>1633</v>
      </c>
      <c r="E212" s="67">
        <v>5169658954</v>
      </c>
      <c r="F212" s="77">
        <v>19</v>
      </c>
      <c r="G212" s="65" t="s">
        <v>37</v>
      </c>
      <c r="J212" s="20" t="s">
        <v>493</v>
      </c>
      <c r="L212" s="20" t="s">
        <v>108</v>
      </c>
      <c r="N212" s="29">
        <v>43759</v>
      </c>
      <c r="O212" s="29">
        <v>43759</v>
      </c>
      <c r="P212" s="29" t="str">
        <f t="shared" si="16"/>
        <v>Y</v>
      </c>
      <c r="Q212" s="20">
        <v>19</v>
      </c>
      <c r="R212" s="78">
        <v>7</v>
      </c>
      <c r="T212" s="20">
        <v>6</v>
      </c>
      <c r="U212" s="20" t="s">
        <v>102</v>
      </c>
      <c r="V212" s="20" t="s">
        <v>534</v>
      </c>
      <c r="W212" s="20">
        <v>1</v>
      </c>
      <c r="X212" s="20">
        <v>0</v>
      </c>
    </row>
    <row r="213" spans="1:24">
      <c r="A213" s="64" t="str">
        <f t="shared" si="17"/>
        <v>Saket Bakshi</v>
      </c>
      <c r="B213" s="20" t="s">
        <v>1337</v>
      </c>
      <c r="C213" s="20" t="s">
        <v>1338</v>
      </c>
      <c r="D213" s="28" t="s">
        <v>1339</v>
      </c>
      <c r="E213" s="67">
        <v>4089603514</v>
      </c>
      <c r="F213" s="77">
        <v>18</v>
      </c>
      <c r="G213" s="65" t="s">
        <v>63</v>
      </c>
      <c r="J213" s="20" t="s">
        <v>493</v>
      </c>
      <c r="L213" s="20" t="s">
        <v>108</v>
      </c>
      <c r="N213" s="29">
        <v>43759</v>
      </c>
      <c r="O213" s="29">
        <v>43759</v>
      </c>
      <c r="P213" s="29" t="str">
        <f t="shared" si="16"/>
        <v>Y</v>
      </c>
      <c r="Q213" s="20">
        <v>11</v>
      </c>
      <c r="R213" s="78">
        <v>1</v>
      </c>
      <c r="T213" s="20">
        <v>1</v>
      </c>
      <c r="U213" s="20" t="s">
        <v>42</v>
      </c>
      <c r="V213" s="20" t="s">
        <v>534</v>
      </c>
    </row>
    <row r="214" spans="1:24">
      <c r="A214" s="64" t="str">
        <f t="shared" si="17"/>
        <v>Ryane Twobulls</v>
      </c>
      <c r="B214" s="20" t="s">
        <v>1334</v>
      </c>
      <c r="C214" s="20" t="s">
        <v>1335</v>
      </c>
      <c r="D214" s="21" t="s">
        <v>1336</v>
      </c>
      <c r="E214" s="67" t="s">
        <v>1635</v>
      </c>
      <c r="F214" s="77">
        <v>18</v>
      </c>
      <c r="G214" s="65" t="s">
        <v>37</v>
      </c>
      <c r="J214" s="20" t="s">
        <v>493</v>
      </c>
      <c r="L214" s="20" t="s">
        <v>41</v>
      </c>
      <c r="N214" s="29">
        <v>43759</v>
      </c>
      <c r="O214" s="29">
        <v>43759</v>
      </c>
      <c r="P214" s="29" t="str">
        <f t="shared" si="16"/>
        <v>Y</v>
      </c>
      <c r="Q214" s="20">
        <v>9</v>
      </c>
      <c r="R214" s="78">
        <v>2</v>
      </c>
      <c r="T214" s="20">
        <v>3</v>
      </c>
      <c r="U214" s="20" t="s">
        <v>42</v>
      </c>
      <c r="V214" s="20" t="s">
        <v>534</v>
      </c>
    </row>
    <row r="215" spans="1:24">
      <c r="A215" s="64" t="str">
        <f t="shared" si="17"/>
        <v>Alexis Burke</v>
      </c>
      <c r="B215" s="20" t="s">
        <v>785</v>
      </c>
      <c r="C215" s="20" t="s">
        <v>790</v>
      </c>
      <c r="D215" s="28" t="s">
        <v>1637</v>
      </c>
      <c r="E215" s="67">
        <v>5706403101</v>
      </c>
      <c r="F215" s="77">
        <v>20</v>
      </c>
      <c r="G215" s="65" t="s">
        <v>37</v>
      </c>
      <c r="J215" s="20" t="s">
        <v>493</v>
      </c>
      <c r="L215" s="20" t="s">
        <v>41</v>
      </c>
      <c r="N215" s="29">
        <v>43759</v>
      </c>
      <c r="O215" s="29">
        <v>43755</v>
      </c>
      <c r="P215" s="29" t="str">
        <f t="shared" si="16"/>
        <v>Y</v>
      </c>
      <c r="Q215" s="20">
        <v>50</v>
      </c>
      <c r="R215" s="78">
        <v>12</v>
      </c>
      <c r="T215" s="20">
        <v>4</v>
      </c>
      <c r="U215" s="20" t="s">
        <v>42</v>
      </c>
      <c r="V215" s="20" t="s">
        <v>534</v>
      </c>
    </row>
    <row r="216" spans="1:24">
      <c r="A216" s="64" t="str">
        <f t="shared" si="17"/>
        <v>Emily Lundstrom</v>
      </c>
      <c r="B216" s="20" t="s">
        <v>149</v>
      </c>
      <c r="C216" s="20" t="s">
        <v>1638</v>
      </c>
      <c r="D216" s="21" t="s">
        <v>1639</v>
      </c>
      <c r="F216" s="77">
        <v>23</v>
      </c>
      <c r="G216" s="65" t="s">
        <v>37</v>
      </c>
      <c r="J216" s="20" t="s">
        <v>40</v>
      </c>
      <c r="L216" s="20" t="s">
        <v>108</v>
      </c>
      <c r="N216" s="29">
        <v>43761</v>
      </c>
      <c r="O216" s="29">
        <v>43761</v>
      </c>
      <c r="P216" s="29" t="str">
        <f t="shared" si="16"/>
        <v>Y</v>
      </c>
      <c r="Q216" s="20">
        <v>42</v>
      </c>
      <c r="R216" s="78">
        <v>8</v>
      </c>
      <c r="T216" s="20">
        <v>0</v>
      </c>
      <c r="U216" s="20" t="s">
        <v>102</v>
      </c>
      <c r="V216" s="20" t="s">
        <v>43</v>
      </c>
      <c r="W216" s="20">
        <v>1</v>
      </c>
      <c r="X216" s="20">
        <v>0</v>
      </c>
    </row>
    <row r="217" spans="1:24">
      <c r="A217" s="64" t="str">
        <f t="shared" si="17"/>
        <v>Ally Wagner</v>
      </c>
      <c r="B217" s="44" t="s">
        <v>1640</v>
      </c>
      <c r="C217" s="44" t="s">
        <v>1332</v>
      </c>
      <c r="D217" s="21" t="s">
        <v>1641</v>
      </c>
      <c r="E217" s="65">
        <v>8149337202</v>
      </c>
      <c r="F217" s="77">
        <v>23</v>
      </c>
      <c r="G217" s="65" t="s">
        <v>37</v>
      </c>
      <c r="J217" s="20" t="s">
        <v>49</v>
      </c>
      <c r="L217" s="20" t="s">
        <v>41</v>
      </c>
      <c r="N217" s="29">
        <v>43761</v>
      </c>
      <c r="O217" s="29">
        <v>43761</v>
      </c>
      <c r="P217" s="29" t="str">
        <f t="shared" si="16"/>
        <v>Y</v>
      </c>
      <c r="Q217" s="20">
        <v>4</v>
      </c>
      <c r="R217" s="78">
        <v>0</v>
      </c>
      <c r="T217" s="20">
        <v>0</v>
      </c>
      <c r="U217" s="20" t="s">
        <v>42</v>
      </c>
      <c r="V217" s="20" t="s">
        <v>43</v>
      </c>
    </row>
    <row r="218" spans="1:24">
      <c r="A218" s="64" t="str">
        <f t="shared" si="17"/>
        <v>Alexis Jones</v>
      </c>
      <c r="B218" s="44" t="s">
        <v>785</v>
      </c>
      <c r="C218" s="20" t="s">
        <v>1347</v>
      </c>
      <c r="D218" s="21" t="s">
        <v>1642</v>
      </c>
      <c r="E218" s="65">
        <v>7175423744</v>
      </c>
      <c r="F218" s="77">
        <v>21</v>
      </c>
      <c r="G218" s="65" t="s">
        <v>37</v>
      </c>
      <c r="J218" s="20" t="s">
        <v>49</v>
      </c>
      <c r="L218" s="20" t="s">
        <v>108</v>
      </c>
      <c r="N218" s="29">
        <v>43761</v>
      </c>
      <c r="O218" s="29">
        <v>43761</v>
      </c>
      <c r="P218" s="29" t="str">
        <f t="shared" si="16"/>
        <v>Y</v>
      </c>
      <c r="Q218" s="20">
        <v>46</v>
      </c>
      <c r="R218" s="78">
        <v>11</v>
      </c>
      <c r="T218" s="20">
        <v>7</v>
      </c>
      <c r="U218" s="20" t="s">
        <v>102</v>
      </c>
      <c r="V218" s="20" t="s">
        <v>43</v>
      </c>
      <c r="W218" s="20" t="s">
        <v>1686</v>
      </c>
      <c r="X218" s="20">
        <v>0</v>
      </c>
    </row>
    <row r="219" spans="1:24">
      <c r="A219" s="64" t="str">
        <f>_xlfn.TEXTJOIN(" ",,B219,C219)</f>
        <v>Ryan Darrough</v>
      </c>
      <c r="B219" s="44" t="s">
        <v>156</v>
      </c>
      <c r="C219" s="44" t="s">
        <v>1643</v>
      </c>
      <c r="D219" s="21" t="s">
        <v>1644</v>
      </c>
      <c r="E219" s="65">
        <v>5709565485</v>
      </c>
      <c r="F219" s="77">
        <v>24</v>
      </c>
      <c r="G219" s="65" t="s">
        <v>63</v>
      </c>
      <c r="J219" s="20" t="s">
        <v>49</v>
      </c>
      <c r="L219" s="20" t="s">
        <v>108</v>
      </c>
      <c r="M219" s="29"/>
      <c r="N219" s="29">
        <v>43761</v>
      </c>
      <c r="O219" s="29">
        <v>43761</v>
      </c>
      <c r="P219" s="29" t="str">
        <f t="shared" si="16"/>
        <v>Y</v>
      </c>
      <c r="Q219" s="20">
        <v>34</v>
      </c>
      <c r="R219" s="78">
        <v>5</v>
      </c>
      <c r="T219" s="20">
        <v>6</v>
      </c>
      <c r="U219" s="20" t="s">
        <v>102</v>
      </c>
      <c r="V219" s="20" t="s">
        <v>43</v>
      </c>
      <c r="W219" s="20">
        <v>1</v>
      </c>
      <c r="X219" s="20">
        <v>0</v>
      </c>
    </row>
    <row r="220" spans="1:24">
      <c r="A220" s="64" t="str">
        <f t="shared" si="17"/>
        <v>Eric Barna</v>
      </c>
      <c r="B220" s="44" t="s">
        <v>991</v>
      </c>
      <c r="C220" s="44" t="s">
        <v>1645</v>
      </c>
      <c r="D220" s="21" t="s">
        <v>1646</v>
      </c>
      <c r="E220" s="65">
        <v>4842253458</v>
      </c>
      <c r="F220" s="77">
        <v>21</v>
      </c>
      <c r="G220" s="65" t="s">
        <v>63</v>
      </c>
      <c r="J220" s="20" t="s">
        <v>49</v>
      </c>
      <c r="L220" s="20" t="s">
        <v>41</v>
      </c>
      <c r="N220" s="29">
        <v>43761</v>
      </c>
      <c r="O220" s="29">
        <v>43761</v>
      </c>
      <c r="P220" s="29" t="str">
        <f t="shared" si="16"/>
        <v>Y</v>
      </c>
      <c r="Q220" s="20">
        <v>34</v>
      </c>
      <c r="R220" s="78">
        <v>6</v>
      </c>
      <c r="T220" s="20">
        <v>9</v>
      </c>
      <c r="U220" s="20" t="s">
        <v>42</v>
      </c>
      <c r="V220" s="20" t="s">
        <v>43</v>
      </c>
    </row>
    <row r="221" spans="1:24">
      <c r="A221" s="64" t="str">
        <f t="shared" si="17"/>
        <v>Brittany Naculich</v>
      </c>
      <c r="B221" s="44" t="s">
        <v>287</v>
      </c>
      <c r="C221" s="44" t="s">
        <v>1647</v>
      </c>
      <c r="D221" s="21" t="s">
        <v>1648</v>
      </c>
      <c r="J221" s="20" t="s">
        <v>49</v>
      </c>
      <c r="L221" s="20" t="s">
        <v>136</v>
      </c>
      <c r="N221" s="29">
        <v>43761</v>
      </c>
      <c r="P221" s="29" t="str">
        <f t="shared" si="16"/>
        <v>N</v>
      </c>
    </row>
    <row r="222" spans="1:24">
      <c r="A222" s="90" t="str">
        <f t="shared" si="17"/>
        <v>Shravan Asthana</v>
      </c>
      <c r="B222" s="44" t="s">
        <v>1650</v>
      </c>
      <c r="C222" s="44" t="s">
        <v>1649</v>
      </c>
      <c r="D222" s="21" t="s">
        <v>1651</v>
      </c>
      <c r="E222" s="65">
        <v>2672184569</v>
      </c>
      <c r="F222" s="77">
        <v>19</v>
      </c>
      <c r="G222" s="65" t="s">
        <v>63</v>
      </c>
      <c r="J222" s="20" t="s">
        <v>64</v>
      </c>
      <c r="K222" s="20" t="s">
        <v>1683</v>
      </c>
      <c r="L222" s="20" t="s">
        <v>108</v>
      </c>
      <c r="M222" s="20" t="s">
        <v>1684</v>
      </c>
      <c r="N222" s="29">
        <v>43761</v>
      </c>
      <c r="O222" s="29">
        <v>43761</v>
      </c>
      <c r="P222" s="29" t="str">
        <f t="shared" si="16"/>
        <v>Y</v>
      </c>
      <c r="Q222" s="20">
        <v>18</v>
      </c>
      <c r="R222" s="78">
        <v>4</v>
      </c>
      <c r="T222" s="20">
        <v>3</v>
      </c>
      <c r="V222" s="20" t="s">
        <v>43</v>
      </c>
    </row>
    <row r="223" spans="1:24">
      <c r="A223" s="90" t="str">
        <f t="shared" si="17"/>
        <v>Olivia Smith</v>
      </c>
      <c r="B223" s="44" t="s">
        <v>51</v>
      </c>
      <c r="C223" s="44" t="s">
        <v>67</v>
      </c>
      <c r="D223" s="21" t="s">
        <v>1652</v>
      </c>
      <c r="E223" s="65" t="s">
        <v>1685</v>
      </c>
      <c r="F223" s="77">
        <v>20</v>
      </c>
      <c r="G223" s="65" t="s">
        <v>37</v>
      </c>
      <c r="J223" s="20" t="s">
        <v>49</v>
      </c>
      <c r="L223" s="20" t="s">
        <v>108</v>
      </c>
      <c r="M223" s="20" t="s">
        <v>518</v>
      </c>
      <c r="N223" s="29">
        <v>43761</v>
      </c>
      <c r="O223" s="29">
        <v>43761</v>
      </c>
      <c r="P223" s="29" t="str">
        <f t="shared" si="16"/>
        <v>Y</v>
      </c>
      <c r="Q223" s="20">
        <v>44</v>
      </c>
      <c r="R223" s="78">
        <v>16</v>
      </c>
      <c r="T223" s="20">
        <v>10</v>
      </c>
    </row>
    <row r="224" spans="1:24">
      <c r="A224" s="64" t="str">
        <f t="shared" si="17"/>
        <v>Kathleen Cempa</v>
      </c>
      <c r="B224" s="44" t="s">
        <v>1653</v>
      </c>
      <c r="C224" s="44" t="s">
        <v>1654</v>
      </c>
      <c r="D224" s="21" t="s">
        <v>1655</v>
      </c>
      <c r="E224" s="65">
        <v>8143213696</v>
      </c>
      <c r="F224" s="77">
        <v>19</v>
      </c>
      <c r="G224" s="65" t="s">
        <v>37</v>
      </c>
      <c r="J224" s="20" t="s">
        <v>64</v>
      </c>
      <c r="K224" s="20" t="s">
        <v>487</v>
      </c>
      <c r="L224" s="20" t="s">
        <v>41</v>
      </c>
      <c r="N224" s="29">
        <v>43761</v>
      </c>
      <c r="O224" s="29">
        <v>43761</v>
      </c>
      <c r="P224" s="29" t="str">
        <f t="shared" si="16"/>
        <v>Y</v>
      </c>
      <c r="Q224" s="20">
        <v>31</v>
      </c>
      <c r="R224" s="78">
        <v>10</v>
      </c>
      <c r="T224" s="20">
        <v>9</v>
      </c>
      <c r="U224" s="20" t="s">
        <v>42</v>
      </c>
      <c r="V224" s="20" t="s">
        <v>43</v>
      </c>
    </row>
    <row r="225" spans="1:24">
      <c r="A225" s="74" t="str">
        <f>_xlfn.TEXTJOIN(" ",,B225,C225)</f>
        <v>Maddie Porter</v>
      </c>
      <c r="B225" s="44" t="s">
        <v>1656</v>
      </c>
      <c r="C225" s="44" t="s">
        <v>1042</v>
      </c>
      <c r="D225" s="21" t="s">
        <v>1657</v>
      </c>
      <c r="E225" s="65">
        <v>4127594424</v>
      </c>
      <c r="F225" s="77">
        <v>20</v>
      </c>
      <c r="G225" s="65" t="s">
        <v>37</v>
      </c>
      <c r="J225" s="20" t="s">
        <v>64</v>
      </c>
      <c r="L225" s="20" t="s">
        <v>108</v>
      </c>
      <c r="N225" s="29">
        <v>43761</v>
      </c>
      <c r="O225" s="29">
        <v>43762</v>
      </c>
      <c r="P225" s="29" t="str">
        <f t="shared" si="16"/>
        <v>Y</v>
      </c>
      <c r="Q225" s="20">
        <v>22</v>
      </c>
      <c r="R225" s="78">
        <v>9</v>
      </c>
      <c r="T225" s="20">
        <v>5</v>
      </c>
      <c r="U225" s="20" t="s">
        <v>102</v>
      </c>
      <c r="V225" s="20" t="s">
        <v>43</v>
      </c>
      <c r="W225" s="20">
        <v>1</v>
      </c>
    </row>
    <row r="226" spans="1:24">
      <c r="A226" s="64" t="str">
        <f t="shared" si="17"/>
        <v>Olivia Hall</v>
      </c>
      <c r="B226" s="44" t="s">
        <v>51</v>
      </c>
      <c r="C226" s="44" t="s">
        <v>1658</v>
      </c>
      <c r="D226" s="21" t="s">
        <v>1659</v>
      </c>
      <c r="J226" s="20" t="s">
        <v>49</v>
      </c>
      <c r="L226" s="20" t="s">
        <v>136</v>
      </c>
      <c r="N226" s="29">
        <v>43761</v>
      </c>
      <c r="P226" s="29" t="str">
        <f t="shared" si="16"/>
        <v>N</v>
      </c>
    </row>
    <row r="227" spans="1:24">
      <c r="A227" s="64" t="str">
        <f t="shared" si="17"/>
        <v>Taylor Norris</v>
      </c>
      <c r="B227" s="44" t="s">
        <v>190</v>
      </c>
      <c r="C227" s="44" t="s">
        <v>1660</v>
      </c>
      <c r="D227" s="21" t="s">
        <v>1661</v>
      </c>
      <c r="E227" s="65">
        <v>8143866556</v>
      </c>
      <c r="F227" s="77">
        <v>23</v>
      </c>
      <c r="G227" s="65" t="s">
        <v>37</v>
      </c>
      <c r="J227" s="20" t="s">
        <v>49</v>
      </c>
      <c r="L227" s="20" t="s">
        <v>108</v>
      </c>
      <c r="N227" s="29">
        <v>43761</v>
      </c>
      <c r="O227" s="29">
        <v>43761</v>
      </c>
      <c r="P227" s="29" t="str">
        <f t="shared" ref="P227:P264" si="18">IF(O227&lt;&gt;"","Y","N")</f>
        <v>Y</v>
      </c>
      <c r="Q227" s="20">
        <v>41</v>
      </c>
      <c r="R227" s="78">
        <v>13</v>
      </c>
      <c r="T227" s="20">
        <v>4</v>
      </c>
      <c r="U227" s="20" t="s">
        <v>102</v>
      </c>
      <c r="V227" s="20" t="s">
        <v>43</v>
      </c>
    </row>
    <row r="228" spans="1:24">
      <c r="A228" s="64" t="str">
        <f t="shared" si="17"/>
        <v>Heidi Barkley</v>
      </c>
      <c r="B228" s="44" t="s">
        <v>1664</v>
      </c>
      <c r="C228" s="44" t="s">
        <v>1665</v>
      </c>
      <c r="D228" s="21" t="s">
        <v>1666</v>
      </c>
      <c r="J228" s="20" t="s">
        <v>49</v>
      </c>
      <c r="L228" s="20" t="s">
        <v>136</v>
      </c>
      <c r="N228" s="29">
        <v>43762</v>
      </c>
      <c r="P228" s="29" t="str">
        <f t="shared" si="18"/>
        <v>N</v>
      </c>
    </row>
    <row r="229" spans="1:24">
      <c r="A229" s="64" t="str">
        <f t="shared" si="17"/>
        <v>Terrance Blanton</v>
      </c>
      <c r="B229" s="44" t="s">
        <v>1667</v>
      </c>
      <c r="C229" s="44" t="s">
        <v>1668</v>
      </c>
      <c r="D229" s="21" t="s">
        <v>1669</v>
      </c>
      <c r="J229" s="20" t="s">
        <v>49</v>
      </c>
      <c r="L229" s="20" t="s">
        <v>136</v>
      </c>
      <c r="N229" s="29">
        <v>43762</v>
      </c>
      <c r="P229" s="29" t="str">
        <f t="shared" si="18"/>
        <v>N</v>
      </c>
    </row>
    <row r="230" spans="1:24">
      <c r="A230" s="64" t="str">
        <f t="shared" si="17"/>
        <v>Emma Trevenen</v>
      </c>
      <c r="B230" s="44" t="s">
        <v>589</v>
      </c>
      <c r="C230" s="44" t="s">
        <v>1670</v>
      </c>
      <c r="D230" s="21" t="s">
        <v>1671</v>
      </c>
      <c r="J230" s="20" t="s">
        <v>49</v>
      </c>
      <c r="L230" s="20" t="s">
        <v>136</v>
      </c>
      <c r="N230" s="29">
        <v>43762</v>
      </c>
      <c r="P230" s="29" t="str">
        <f t="shared" si="18"/>
        <v>N</v>
      </c>
    </row>
    <row r="231" spans="1:24">
      <c r="A231" s="64" t="str">
        <f t="shared" si="17"/>
        <v>Jaxson Engelman</v>
      </c>
      <c r="B231" s="44" t="s">
        <v>1672</v>
      </c>
      <c r="C231" s="44" t="s">
        <v>926</v>
      </c>
      <c r="D231" s="21" t="s">
        <v>1673</v>
      </c>
      <c r="J231" s="20" t="s">
        <v>49</v>
      </c>
      <c r="L231" s="20" t="s">
        <v>136</v>
      </c>
      <c r="N231" s="29">
        <v>43762</v>
      </c>
      <c r="P231" s="29" t="str">
        <f t="shared" si="18"/>
        <v>N</v>
      </c>
    </row>
    <row r="232" spans="1:24">
      <c r="A232" s="64" t="str">
        <f t="shared" si="17"/>
        <v>Emilie Goss</v>
      </c>
      <c r="B232" s="44" t="s">
        <v>1674</v>
      </c>
      <c r="C232" s="44" t="s">
        <v>1675</v>
      </c>
      <c r="D232" s="21" t="s">
        <v>1676</v>
      </c>
      <c r="J232" s="20" t="s">
        <v>49</v>
      </c>
      <c r="L232" s="20" t="s">
        <v>136</v>
      </c>
      <c r="N232" s="29">
        <v>43762</v>
      </c>
      <c r="P232" s="29" t="str">
        <f t="shared" si="18"/>
        <v>N</v>
      </c>
    </row>
    <row r="233" spans="1:24">
      <c r="A233" s="64" t="str">
        <f t="shared" si="17"/>
        <v>Allicia Coke</v>
      </c>
      <c r="B233" s="44" t="s">
        <v>1678</v>
      </c>
      <c r="C233" s="44" t="s">
        <v>1679</v>
      </c>
      <c r="D233" s="21" t="s">
        <v>1677</v>
      </c>
      <c r="J233" s="20" t="s">
        <v>49</v>
      </c>
      <c r="L233" s="20" t="s">
        <v>136</v>
      </c>
      <c r="N233" s="29">
        <v>43762</v>
      </c>
      <c r="P233" s="29" t="str">
        <f t="shared" si="18"/>
        <v>N</v>
      </c>
    </row>
    <row r="234" spans="1:24">
      <c r="A234" s="81" t="str">
        <f t="shared" si="17"/>
        <v>Nick Goussetis</v>
      </c>
      <c r="B234" s="44" t="s">
        <v>1264</v>
      </c>
      <c r="C234" s="44" t="s">
        <v>1680</v>
      </c>
      <c r="D234" s="21" t="s">
        <v>1681</v>
      </c>
      <c r="E234" s="65">
        <v>7175728608</v>
      </c>
      <c r="F234" s="77">
        <v>22</v>
      </c>
      <c r="G234" s="65" t="s">
        <v>63</v>
      </c>
      <c r="J234" s="20" t="s">
        <v>49</v>
      </c>
      <c r="L234" s="20" t="s">
        <v>108</v>
      </c>
      <c r="M234" s="20" t="s">
        <v>1682</v>
      </c>
      <c r="N234" s="29">
        <v>43762</v>
      </c>
      <c r="O234" s="29">
        <v>43762</v>
      </c>
      <c r="P234" s="29" t="str">
        <f t="shared" si="18"/>
        <v>Y</v>
      </c>
      <c r="Q234" s="20">
        <v>9</v>
      </c>
      <c r="R234" s="78">
        <v>3</v>
      </c>
      <c r="T234" s="20">
        <v>3</v>
      </c>
      <c r="V234" s="20" t="s">
        <v>43</v>
      </c>
    </row>
    <row r="235" spans="1:24">
      <c r="A235" s="64" t="str">
        <f t="shared" si="17"/>
        <v>Eleanor Jenkins</v>
      </c>
      <c r="B235" s="44" t="s">
        <v>963</v>
      </c>
      <c r="C235" s="44" t="s">
        <v>680</v>
      </c>
      <c r="D235" s="21" t="s">
        <v>964</v>
      </c>
      <c r="E235" s="65">
        <v>2525032555</v>
      </c>
      <c r="F235" s="77">
        <v>18</v>
      </c>
      <c r="G235" s="65" t="s">
        <v>37</v>
      </c>
      <c r="J235" s="20" t="s">
        <v>493</v>
      </c>
      <c r="L235" s="20" t="s">
        <v>108</v>
      </c>
      <c r="N235" s="29">
        <v>43760</v>
      </c>
      <c r="O235" s="29">
        <v>43760</v>
      </c>
      <c r="P235" s="29" t="str">
        <f t="shared" si="18"/>
        <v>Y</v>
      </c>
      <c r="Q235" s="20">
        <v>19</v>
      </c>
      <c r="R235" s="78">
        <v>2</v>
      </c>
      <c r="T235" s="20">
        <v>3</v>
      </c>
      <c r="U235" s="20" t="s">
        <v>102</v>
      </c>
      <c r="V235" s="20" t="s">
        <v>43</v>
      </c>
      <c r="W235" s="20">
        <v>1</v>
      </c>
      <c r="X235" s="20">
        <v>0</v>
      </c>
    </row>
    <row r="236" spans="1:24">
      <c r="A236" s="64" t="str">
        <f t="shared" si="17"/>
        <v>Samantha Kielar</v>
      </c>
      <c r="B236" s="20" t="s">
        <v>226</v>
      </c>
      <c r="C236" s="20" t="s">
        <v>1687</v>
      </c>
      <c r="D236" s="21" t="s">
        <v>1688</v>
      </c>
      <c r="J236" s="20" t="s">
        <v>49</v>
      </c>
      <c r="L236" s="20" t="s">
        <v>136</v>
      </c>
      <c r="N236" s="29">
        <v>43766</v>
      </c>
      <c r="P236" s="29" t="str">
        <f t="shared" si="18"/>
        <v>N</v>
      </c>
    </row>
    <row r="237" spans="1:24">
      <c r="A237" s="64" t="str">
        <f t="shared" si="17"/>
        <v>Courtney Holley</v>
      </c>
      <c r="B237" s="20" t="s">
        <v>412</v>
      </c>
      <c r="C237" s="20" t="s">
        <v>1689</v>
      </c>
      <c r="D237" s="21" t="s">
        <v>1690</v>
      </c>
      <c r="J237" s="20" t="s">
        <v>49</v>
      </c>
      <c r="L237" s="20" t="s">
        <v>136</v>
      </c>
      <c r="N237" s="29">
        <v>43766</v>
      </c>
      <c r="P237" s="29" t="str">
        <f t="shared" si="18"/>
        <v>N</v>
      </c>
    </row>
    <row r="238" spans="1:24">
      <c r="A238" s="64" t="str">
        <f t="shared" si="17"/>
        <v>Xiaoxu Ding</v>
      </c>
      <c r="B238" s="44" t="s">
        <v>1692</v>
      </c>
      <c r="C238" s="44" t="s">
        <v>1693</v>
      </c>
      <c r="D238" s="21" t="s">
        <v>1691</v>
      </c>
      <c r="J238" s="20" t="s">
        <v>49</v>
      </c>
      <c r="L238" s="20" t="s">
        <v>136</v>
      </c>
      <c r="N238" s="29">
        <v>43766</v>
      </c>
      <c r="P238" s="29" t="str">
        <f t="shared" si="18"/>
        <v>N</v>
      </c>
    </row>
    <row r="239" spans="1:24">
      <c r="A239" s="64" t="str">
        <f t="shared" si="17"/>
        <v>Madison Woolgar</v>
      </c>
      <c r="B239" s="44" t="s">
        <v>1195</v>
      </c>
      <c r="C239" s="44" t="s">
        <v>1694</v>
      </c>
      <c r="D239" s="21" t="s">
        <v>1695</v>
      </c>
      <c r="J239" s="20" t="s">
        <v>49</v>
      </c>
      <c r="L239" s="20" t="s">
        <v>136</v>
      </c>
      <c r="N239" s="29">
        <v>43767</v>
      </c>
      <c r="P239" s="29" t="str">
        <f t="shared" si="18"/>
        <v>N</v>
      </c>
    </row>
    <row r="240" spans="1:24">
      <c r="A240" s="64" t="str">
        <f t="shared" si="17"/>
        <v>Payton Holcomb</v>
      </c>
      <c r="B240" s="44" t="s">
        <v>1697</v>
      </c>
      <c r="C240" s="44" t="s">
        <v>1698</v>
      </c>
      <c r="D240" s="21" t="s">
        <v>1699</v>
      </c>
      <c r="J240" s="20" t="s">
        <v>49</v>
      </c>
      <c r="L240" s="20" t="s">
        <v>136</v>
      </c>
      <c r="N240" s="29">
        <v>43766</v>
      </c>
      <c r="P240" s="29" t="str">
        <f t="shared" si="18"/>
        <v>N</v>
      </c>
    </row>
    <row r="241" spans="1:22">
      <c r="A241" s="64" t="str">
        <f t="shared" si="17"/>
        <v>Sarah Gross</v>
      </c>
      <c r="B241" s="44" t="s">
        <v>128</v>
      </c>
      <c r="C241" s="44" t="s">
        <v>1700</v>
      </c>
      <c r="D241" s="21" t="s">
        <v>1701</v>
      </c>
      <c r="E241" s="101">
        <v>6102176484</v>
      </c>
      <c r="F241" s="77">
        <v>21</v>
      </c>
      <c r="G241" s="65" t="s">
        <v>37</v>
      </c>
      <c r="J241" s="20" t="s">
        <v>49</v>
      </c>
      <c r="L241" s="20" t="s">
        <v>41</v>
      </c>
      <c r="N241" s="29">
        <v>43766</v>
      </c>
      <c r="O241" s="29">
        <v>43767</v>
      </c>
      <c r="P241" s="29" t="str">
        <f t="shared" si="18"/>
        <v>Y</v>
      </c>
      <c r="Q241" s="20">
        <v>8</v>
      </c>
      <c r="R241" s="78">
        <v>1</v>
      </c>
      <c r="T241" s="20">
        <v>1</v>
      </c>
      <c r="U241" s="20" t="s">
        <v>42</v>
      </c>
      <c r="V241" s="20" t="s">
        <v>1766</v>
      </c>
    </row>
    <row r="242" spans="1:22">
      <c r="A242" s="64" t="str">
        <f t="shared" si="17"/>
        <v>Tori Hackenberg</v>
      </c>
      <c r="B242" s="44" t="s">
        <v>1703</v>
      </c>
      <c r="C242" s="44" t="s">
        <v>1702</v>
      </c>
      <c r="D242" s="21" t="s">
        <v>1704</v>
      </c>
      <c r="E242" s="102"/>
      <c r="F242" s="77">
        <v>21</v>
      </c>
      <c r="G242" s="65" t="s">
        <v>37</v>
      </c>
      <c r="J242" s="20" t="s">
        <v>49</v>
      </c>
      <c r="L242" s="20" t="s">
        <v>136</v>
      </c>
      <c r="N242" s="29">
        <v>43767</v>
      </c>
      <c r="P242" s="29" t="str">
        <f t="shared" si="18"/>
        <v>N</v>
      </c>
    </row>
    <row r="243" spans="1:22">
      <c r="A243" s="64" t="str">
        <f t="shared" si="17"/>
        <v>Kelsee Hern</v>
      </c>
      <c r="B243" s="44" t="s">
        <v>1705</v>
      </c>
      <c r="C243" s="44" t="s">
        <v>1706</v>
      </c>
      <c r="D243" s="21" t="s">
        <v>1707</v>
      </c>
      <c r="F243" s="77">
        <v>20</v>
      </c>
      <c r="J243" s="20" t="s">
        <v>49</v>
      </c>
      <c r="L243" s="20" t="s">
        <v>136</v>
      </c>
      <c r="N243" s="29">
        <v>43767</v>
      </c>
      <c r="P243" s="29" t="str">
        <f t="shared" si="18"/>
        <v>N</v>
      </c>
    </row>
    <row r="244" spans="1:22">
      <c r="A244" s="64" t="str">
        <f t="shared" si="17"/>
        <v>Susan Travis</v>
      </c>
      <c r="B244" s="44" t="s">
        <v>1708</v>
      </c>
      <c r="C244" s="44" t="s">
        <v>1709</v>
      </c>
      <c r="D244" s="21" t="s">
        <v>1710</v>
      </c>
      <c r="F244" s="77">
        <v>23</v>
      </c>
      <c r="J244" s="20" t="s">
        <v>49</v>
      </c>
      <c r="L244" s="20" t="s">
        <v>136</v>
      </c>
      <c r="N244" s="29">
        <v>43767</v>
      </c>
      <c r="P244" s="29" t="str">
        <f t="shared" si="18"/>
        <v>N</v>
      </c>
    </row>
    <row r="245" spans="1:22">
      <c r="A245" s="64" t="str">
        <f t="shared" si="17"/>
        <v>Sarah Long</v>
      </c>
      <c r="B245" s="44" t="s">
        <v>128</v>
      </c>
      <c r="C245" s="44" t="s">
        <v>1712</v>
      </c>
      <c r="D245" s="21" t="s">
        <v>1711</v>
      </c>
      <c r="J245" s="20" t="s">
        <v>49</v>
      </c>
      <c r="L245" s="20" t="s">
        <v>136</v>
      </c>
      <c r="N245" s="29">
        <v>43767</v>
      </c>
      <c r="P245" s="29" t="str">
        <f t="shared" si="18"/>
        <v>N</v>
      </c>
    </row>
    <row r="246" spans="1:22">
      <c r="A246" s="64" t="str">
        <f t="shared" si="17"/>
        <v>Lillie Keefer</v>
      </c>
      <c r="B246" s="44" t="s">
        <v>1713</v>
      </c>
      <c r="C246" s="20" t="s">
        <v>1714</v>
      </c>
      <c r="D246" s="21" t="s">
        <v>1715</v>
      </c>
      <c r="E246" s="44" t="s">
        <v>1716</v>
      </c>
      <c r="J246" s="20" t="s">
        <v>49</v>
      </c>
      <c r="L246" s="20" t="s">
        <v>136</v>
      </c>
      <c r="N246" s="29">
        <v>43767</v>
      </c>
      <c r="P246" s="29" t="str">
        <f t="shared" si="18"/>
        <v>N</v>
      </c>
    </row>
    <row r="247" spans="1:22">
      <c r="A247" s="64" t="str">
        <f t="shared" si="17"/>
        <v>Kate Suchanec</v>
      </c>
      <c r="B247" s="99" t="s">
        <v>1718</v>
      </c>
      <c r="C247" s="91" t="s">
        <v>1719</v>
      </c>
      <c r="D247" s="60" t="s">
        <v>1717</v>
      </c>
      <c r="F247" s="77">
        <v>22</v>
      </c>
      <c r="J247" s="20" t="s">
        <v>49</v>
      </c>
      <c r="L247" s="20" t="s">
        <v>136</v>
      </c>
      <c r="N247" s="29">
        <v>43767</v>
      </c>
      <c r="P247" s="29" t="str">
        <f t="shared" si="18"/>
        <v>N</v>
      </c>
    </row>
    <row r="248" spans="1:22">
      <c r="A248" s="64" t="str">
        <f t="shared" si="17"/>
        <v>Rebecca Malek</v>
      </c>
      <c r="B248" s="44" t="s">
        <v>193</v>
      </c>
      <c r="C248" s="44" t="s">
        <v>1720</v>
      </c>
      <c r="D248" s="21" t="s">
        <v>1721</v>
      </c>
      <c r="J248" s="20" t="s">
        <v>49</v>
      </c>
      <c r="L248" s="20" t="s">
        <v>136</v>
      </c>
      <c r="N248" s="29">
        <v>43767</v>
      </c>
      <c r="P248" s="29" t="str">
        <f t="shared" si="18"/>
        <v>N</v>
      </c>
    </row>
    <row r="249" spans="1:22">
      <c r="A249" s="64" t="str">
        <f t="shared" si="17"/>
        <v>Rachel Anderson</v>
      </c>
      <c r="B249" s="44" t="s">
        <v>284</v>
      </c>
      <c r="C249" s="44" t="s">
        <v>1722</v>
      </c>
      <c r="D249" s="21" t="s">
        <v>1723</v>
      </c>
      <c r="J249" s="20" t="s">
        <v>49</v>
      </c>
      <c r="L249" s="20" t="s">
        <v>136</v>
      </c>
      <c r="N249" s="29">
        <v>43767</v>
      </c>
      <c r="P249" s="29" t="str">
        <f t="shared" si="18"/>
        <v>N</v>
      </c>
    </row>
    <row r="250" spans="1:22">
      <c r="A250" s="64" t="str">
        <f t="shared" si="17"/>
        <v>Hannah Ferenci</v>
      </c>
      <c r="B250" s="44" t="s">
        <v>45</v>
      </c>
      <c r="C250" s="20" t="s">
        <v>1724</v>
      </c>
      <c r="D250" s="21" t="s">
        <v>1725</v>
      </c>
      <c r="J250" s="20" t="s">
        <v>49</v>
      </c>
      <c r="L250" s="20" t="s">
        <v>136</v>
      </c>
      <c r="N250" s="29">
        <v>43767</v>
      </c>
      <c r="P250" s="29" t="str">
        <f t="shared" si="18"/>
        <v>N</v>
      </c>
    </row>
    <row r="251" spans="1:22">
      <c r="A251" s="64" t="str">
        <f t="shared" si="17"/>
        <v>meranda keister</v>
      </c>
      <c r="B251" s="44" t="s">
        <v>1726</v>
      </c>
      <c r="C251" s="20" t="s">
        <v>1728</v>
      </c>
      <c r="D251" s="21" t="s">
        <v>1727</v>
      </c>
      <c r="E251" s="44" t="s">
        <v>1729</v>
      </c>
      <c r="J251" s="20" t="s">
        <v>49</v>
      </c>
      <c r="L251" s="20" t="s">
        <v>136</v>
      </c>
      <c r="N251" s="29">
        <v>43767</v>
      </c>
      <c r="P251" s="29" t="str">
        <f t="shared" si="18"/>
        <v>N</v>
      </c>
    </row>
    <row r="252" spans="1:22">
      <c r="A252" s="64" t="str">
        <f t="shared" si="17"/>
        <v>Caitlin Davis</v>
      </c>
      <c r="B252" s="44" t="s">
        <v>1731</v>
      </c>
      <c r="C252" s="20" t="s">
        <v>548</v>
      </c>
      <c r="D252" s="21" t="s">
        <v>1730</v>
      </c>
      <c r="J252" s="20" t="s">
        <v>49</v>
      </c>
      <c r="L252" s="20" t="s">
        <v>136</v>
      </c>
      <c r="N252" s="29">
        <v>43767</v>
      </c>
      <c r="P252" s="29" t="str">
        <f t="shared" si="18"/>
        <v>N</v>
      </c>
    </row>
    <row r="253" spans="1:22">
      <c r="A253" s="64" t="str">
        <f t="shared" si="17"/>
        <v>Aurora Nyman</v>
      </c>
      <c r="B253" s="44" t="s">
        <v>1732</v>
      </c>
      <c r="C253" s="20" t="s">
        <v>1733</v>
      </c>
      <c r="D253" s="21" t="s">
        <v>1734</v>
      </c>
      <c r="F253" s="77">
        <v>23</v>
      </c>
      <c r="G253" s="65" t="s">
        <v>37</v>
      </c>
      <c r="J253" s="20" t="s">
        <v>49</v>
      </c>
      <c r="L253" s="20" t="s">
        <v>136</v>
      </c>
      <c r="N253" s="29">
        <v>43767</v>
      </c>
      <c r="P253" s="29" t="str">
        <f t="shared" si="18"/>
        <v>N</v>
      </c>
    </row>
    <row r="254" spans="1:22" ht="17">
      <c r="A254" s="64" t="str">
        <f t="shared" ref="A254:A276" si="19">_xlfn.TEXTJOIN(" ",,B254,C254)</f>
        <v>Gracie Cain</v>
      </c>
      <c r="B254" s="44" t="s">
        <v>1735</v>
      </c>
      <c r="C254" s="20" t="s">
        <v>1736</v>
      </c>
      <c r="D254" s="21" t="s">
        <v>1737</v>
      </c>
      <c r="E254" s="101" t="s">
        <v>1765</v>
      </c>
      <c r="F254" s="77">
        <v>16</v>
      </c>
      <c r="J254" s="20" t="s">
        <v>49</v>
      </c>
      <c r="L254" s="20" t="s">
        <v>136</v>
      </c>
      <c r="N254" s="29">
        <v>43767</v>
      </c>
      <c r="P254" s="29" t="str">
        <f t="shared" si="18"/>
        <v>N</v>
      </c>
    </row>
    <row r="255" spans="1:22">
      <c r="A255" s="64" t="str">
        <f t="shared" si="19"/>
        <v>Emily Jackson</v>
      </c>
      <c r="B255" s="44" t="s">
        <v>149</v>
      </c>
      <c r="C255" s="20" t="s">
        <v>1045</v>
      </c>
      <c r="D255" s="21" t="s">
        <v>1738</v>
      </c>
      <c r="E255" s="102"/>
      <c r="J255" s="20" t="s">
        <v>49</v>
      </c>
      <c r="L255" s="20" t="s">
        <v>136</v>
      </c>
      <c r="N255" s="29">
        <v>43767</v>
      </c>
      <c r="P255" s="29" t="str">
        <f t="shared" si="18"/>
        <v>N</v>
      </c>
    </row>
    <row r="256" spans="1:22">
      <c r="A256" s="64" t="str">
        <f t="shared" si="19"/>
        <v>Andrea DiSalvo</v>
      </c>
      <c r="B256" s="44" t="s">
        <v>1740</v>
      </c>
      <c r="C256" s="44" t="s">
        <v>1739</v>
      </c>
      <c r="D256" s="21" t="s">
        <v>1741</v>
      </c>
      <c r="F256" s="77">
        <v>22</v>
      </c>
      <c r="J256" s="20" t="s">
        <v>49</v>
      </c>
      <c r="L256" s="20" t="s">
        <v>136</v>
      </c>
      <c r="N256" s="29">
        <v>43767</v>
      </c>
      <c r="P256" s="29" t="str">
        <f t="shared" si="18"/>
        <v>N</v>
      </c>
    </row>
    <row r="257" spans="1:24">
      <c r="A257" s="64" t="str">
        <f t="shared" si="19"/>
        <v>Raine Weaver</v>
      </c>
      <c r="B257" s="44" t="s">
        <v>1742</v>
      </c>
      <c r="C257" s="20" t="s">
        <v>539</v>
      </c>
      <c r="D257" s="21" t="s">
        <v>1743</v>
      </c>
      <c r="F257" s="77">
        <v>16</v>
      </c>
      <c r="J257" s="20" t="s">
        <v>49</v>
      </c>
      <c r="L257" s="20" t="s">
        <v>136</v>
      </c>
      <c r="M257" s="20" t="s">
        <v>1744</v>
      </c>
      <c r="N257" s="29">
        <v>43767</v>
      </c>
      <c r="P257" s="29" t="str">
        <f t="shared" si="18"/>
        <v>N</v>
      </c>
    </row>
    <row r="258" spans="1:24">
      <c r="A258" s="64" t="str">
        <f t="shared" si="19"/>
        <v>Mercedes Rothrock</v>
      </c>
      <c r="B258" s="44" t="s">
        <v>1745</v>
      </c>
      <c r="C258" s="44" t="s">
        <v>1746</v>
      </c>
      <c r="D258" s="21" t="s">
        <v>1747</v>
      </c>
      <c r="E258" s="44" t="s">
        <v>1748</v>
      </c>
      <c r="F258" s="77">
        <v>18</v>
      </c>
      <c r="G258" s="65" t="s">
        <v>37</v>
      </c>
      <c r="J258" s="20" t="s">
        <v>49</v>
      </c>
      <c r="L258" s="20" t="s">
        <v>108</v>
      </c>
      <c r="N258" s="29">
        <v>43767</v>
      </c>
      <c r="O258" s="29">
        <v>43768</v>
      </c>
      <c r="P258" s="29" t="str">
        <f t="shared" si="18"/>
        <v>Y</v>
      </c>
      <c r="Q258" s="20">
        <v>25</v>
      </c>
      <c r="R258" s="78">
        <v>6</v>
      </c>
      <c r="T258" s="20">
        <v>3</v>
      </c>
    </row>
    <row r="259" spans="1:24" ht="17">
      <c r="A259" s="64" t="str">
        <f t="shared" si="19"/>
        <v>Emma Houtz</v>
      </c>
      <c r="B259" s="44" t="s">
        <v>589</v>
      </c>
      <c r="C259" s="20" t="s">
        <v>1749</v>
      </c>
      <c r="D259" s="21" t="s">
        <v>1750</v>
      </c>
      <c r="E259" s="101" t="s">
        <v>1767</v>
      </c>
      <c r="F259" s="77">
        <v>18</v>
      </c>
      <c r="G259" s="65" t="s">
        <v>37</v>
      </c>
      <c r="J259" s="20" t="s">
        <v>493</v>
      </c>
      <c r="L259" s="20" t="s">
        <v>108</v>
      </c>
      <c r="M259" s="20" t="s">
        <v>1768</v>
      </c>
      <c r="N259" s="29">
        <v>43767</v>
      </c>
      <c r="O259" s="29">
        <v>43767</v>
      </c>
      <c r="P259" s="29" t="str">
        <f t="shared" si="18"/>
        <v>Y</v>
      </c>
      <c r="Q259" s="20">
        <v>30</v>
      </c>
      <c r="R259" s="78">
        <v>7</v>
      </c>
      <c r="T259" s="20">
        <v>5</v>
      </c>
      <c r="U259" s="20" t="s">
        <v>102</v>
      </c>
      <c r="V259" s="20" t="s">
        <v>1766</v>
      </c>
      <c r="W259" s="20">
        <v>1</v>
      </c>
      <c r="X259" s="20">
        <v>0</v>
      </c>
    </row>
    <row r="260" spans="1:24">
      <c r="A260" s="64" t="str">
        <f t="shared" si="19"/>
        <v>Brooklyn Haugh</v>
      </c>
      <c r="B260" s="44" t="s">
        <v>1751</v>
      </c>
      <c r="C260" s="20" t="s">
        <v>1752</v>
      </c>
      <c r="D260" s="21" t="s">
        <v>1753</v>
      </c>
      <c r="E260" s="102"/>
      <c r="J260" s="20" t="s">
        <v>49</v>
      </c>
      <c r="L260" s="20" t="s">
        <v>136</v>
      </c>
      <c r="N260" s="29">
        <v>43767</v>
      </c>
      <c r="P260" s="29" t="str">
        <f t="shared" si="18"/>
        <v>N</v>
      </c>
    </row>
    <row r="261" spans="1:24">
      <c r="A261" s="64" t="str">
        <f t="shared" si="19"/>
        <v>Alexis Bingaman</v>
      </c>
      <c r="B261" s="44" t="s">
        <v>785</v>
      </c>
      <c r="C261" s="44" t="s">
        <v>1754</v>
      </c>
      <c r="D261" s="21" t="s">
        <v>1755</v>
      </c>
      <c r="J261" s="20" t="s">
        <v>49</v>
      </c>
      <c r="L261" s="20" t="s">
        <v>136</v>
      </c>
      <c r="N261" s="29">
        <v>43767</v>
      </c>
      <c r="P261" s="29" t="str">
        <f t="shared" si="18"/>
        <v>N</v>
      </c>
    </row>
    <row r="262" spans="1:24">
      <c r="A262" s="64" t="str">
        <f t="shared" si="19"/>
        <v>Alyssa Neidig</v>
      </c>
      <c r="B262" s="44" t="s">
        <v>567</v>
      </c>
      <c r="C262" s="20" t="s">
        <v>1756</v>
      </c>
      <c r="D262" s="21" t="s">
        <v>1757</v>
      </c>
      <c r="F262" s="77">
        <v>18</v>
      </c>
      <c r="G262" s="65" t="s">
        <v>37</v>
      </c>
      <c r="J262" s="20" t="s">
        <v>49</v>
      </c>
      <c r="L262" s="20" t="s">
        <v>108</v>
      </c>
      <c r="N262" s="29">
        <v>43767</v>
      </c>
      <c r="O262" s="29">
        <v>43767</v>
      </c>
      <c r="P262" s="29" t="str">
        <f t="shared" si="18"/>
        <v>Y</v>
      </c>
      <c r="Q262" s="20">
        <v>34</v>
      </c>
      <c r="R262" s="78">
        <v>11</v>
      </c>
      <c r="T262" s="20">
        <v>6</v>
      </c>
      <c r="U262" s="20" t="s">
        <v>102</v>
      </c>
      <c r="V262" s="20" t="s">
        <v>1766</v>
      </c>
      <c r="W262" s="20">
        <v>1</v>
      </c>
      <c r="X262" s="20">
        <v>0</v>
      </c>
    </row>
    <row r="263" spans="1:24">
      <c r="A263" s="64" t="str">
        <f t="shared" si="19"/>
        <v>Devon Nothstein</v>
      </c>
      <c r="B263" s="44" t="s">
        <v>942</v>
      </c>
      <c r="C263" s="99" t="s">
        <v>1759</v>
      </c>
      <c r="D263" s="100" t="s">
        <v>1758</v>
      </c>
      <c r="J263" s="20" t="s">
        <v>49</v>
      </c>
      <c r="L263" s="20" t="s">
        <v>136</v>
      </c>
      <c r="N263" s="29">
        <v>43767</v>
      </c>
      <c r="P263" s="29" t="str">
        <f t="shared" si="18"/>
        <v>N</v>
      </c>
    </row>
    <row r="264" spans="1:24">
      <c r="A264" s="64" t="str">
        <f t="shared" si="19"/>
        <v>Jiuqing "Cindy" Yu</v>
      </c>
      <c r="B264" s="44" t="s">
        <v>1763</v>
      </c>
      <c r="C264" s="20" t="s">
        <v>949</v>
      </c>
      <c r="D264" s="5" t="s">
        <v>1696</v>
      </c>
      <c r="E264" s="65">
        <v>9542539003</v>
      </c>
      <c r="F264" s="77">
        <v>20</v>
      </c>
      <c r="G264" s="65" t="s">
        <v>37</v>
      </c>
      <c r="J264" s="20" t="s">
        <v>64</v>
      </c>
      <c r="K264" s="20" t="s">
        <v>655</v>
      </c>
      <c r="L264" s="20" t="s">
        <v>41</v>
      </c>
      <c r="M264" s="20" t="s">
        <v>1764</v>
      </c>
      <c r="N264" s="29">
        <v>43767</v>
      </c>
      <c r="O264" s="29">
        <v>43767</v>
      </c>
      <c r="P264" s="29" t="str">
        <f t="shared" si="18"/>
        <v>Y</v>
      </c>
      <c r="Q264" s="20">
        <v>25</v>
      </c>
      <c r="R264" s="78">
        <v>9</v>
      </c>
      <c r="T264" s="20">
        <v>9</v>
      </c>
      <c r="U264" s="20" t="s">
        <v>42</v>
      </c>
      <c r="V264" s="20" t="s">
        <v>43</v>
      </c>
    </row>
    <row r="265" spans="1:24">
      <c r="A265" s="64" t="str">
        <f t="shared" si="19"/>
        <v>Laura Forsyth</v>
      </c>
      <c r="B265" s="44" t="s">
        <v>34</v>
      </c>
      <c r="C265" s="20" t="s">
        <v>1769</v>
      </c>
      <c r="D265" s="5" t="s">
        <v>1770</v>
      </c>
      <c r="F265" s="77">
        <v>21</v>
      </c>
      <c r="J265" s="20" t="s">
        <v>49</v>
      </c>
      <c r="L265" s="20" t="s">
        <v>136</v>
      </c>
      <c r="N265" s="29">
        <v>43769</v>
      </c>
    </row>
    <row r="266" spans="1:24">
      <c r="A266" s="64" t="str">
        <f t="shared" si="19"/>
        <v>Sarah Henderson</v>
      </c>
      <c r="B266" s="44" t="s">
        <v>128</v>
      </c>
      <c r="C266" s="20" t="s">
        <v>342</v>
      </c>
      <c r="D266" s="5" t="s">
        <v>1771</v>
      </c>
      <c r="E266" s="106">
        <v>7245912227</v>
      </c>
      <c r="F266" s="77">
        <v>22</v>
      </c>
      <c r="G266" s="65" t="s">
        <v>37</v>
      </c>
      <c r="J266" s="20" t="s">
        <v>49</v>
      </c>
      <c r="L266" s="20" t="s">
        <v>108</v>
      </c>
      <c r="M266" s="20" t="s">
        <v>1772</v>
      </c>
      <c r="N266" s="29">
        <v>43769</v>
      </c>
      <c r="O266" s="29">
        <v>43769</v>
      </c>
      <c r="P266" s="29" t="s">
        <v>736</v>
      </c>
      <c r="Q266" s="20">
        <v>15</v>
      </c>
      <c r="R266" s="78">
        <v>1</v>
      </c>
      <c r="T266" s="20">
        <v>6</v>
      </c>
      <c r="U266" s="20" t="s">
        <v>102</v>
      </c>
      <c r="V266" s="20" t="s">
        <v>534</v>
      </c>
      <c r="W266" s="20">
        <v>1</v>
      </c>
    </row>
    <row r="267" spans="1:24">
      <c r="A267" s="64" t="str">
        <f t="shared" si="19"/>
        <v>Alyssa Ross</v>
      </c>
      <c r="B267" s="44" t="s">
        <v>567</v>
      </c>
      <c r="C267" s="20" t="s">
        <v>1773</v>
      </c>
      <c r="D267" s="5" t="s">
        <v>1774</v>
      </c>
      <c r="E267" s="5"/>
      <c r="F267" s="77">
        <v>21</v>
      </c>
      <c r="G267" s="65" t="s">
        <v>37</v>
      </c>
      <c r="J267" s="20" t="s">
        <v>49</v>
      </c>
      <c r="L267" s="20" t="s">
        <v>41</v>
      </c>
      <c r="N267" s="29">
        <v>43769</v>
      </c>
      <c r="O267" s="29">
        <v>43769</v>
      </c>
      <c r="P267" s="29" t="s">
        <v>736</v>
      </c>
      <c r="Q267" s="20">
        <v>43</v>
      </c>
      <c r="R267" s="78">
        <v>11</v>
      </c>
      <c r="T267" s="20">
        <v>8</v>
      </c>
      <c r="U267" s="20" t="s">
        <v>42</v>
      </c>
      <c r="V267" s="20" t="s">
        <v>534</v>
      </c>
    </row>
    <row r="268" spans="1:24">
      <c r="A268" s="64" t="str">
        <f t="shared" si="19"/>
        <v>Nicole Reigh</v>
      </c>
      <c r="B268" s="44" t="s">
        <v>1267</v>
      </c>
      <c r="C268" s="20" t="s">
        <v>1776</v>
      </c>
      <c r="D268" s="5" t="s">
        <v>1775</v>
      </c>
      <c r="E268" s="106">
        <v>8149317768</v>
      </c>
      <c r="F268" s="77">
        <v>24</v>
      </c>
      <c r="G268" s="65" t="s">
        <v>37</v>
      </c>
      <c r="J268" s="20" t="s">
        <v>49</v>
      </c>
      <c r="L268" s="20" t="s">
        <v>41</v>
      </c>
      <c r="N268" s="29">
        <v>43769</v>
      </c>
      <c r="O268" s="29" t="s">
        <v>1797</v>
      </c>
      <c r="P268" s="29" t="s">
        <v>736</v>
      </c>
      <c r="Q268" s="20">
        <v>43</v>
      </c>
      <c r="R268" s="78">
        <v>14</v>
      </c>
      <c r="T268" s="20">
        <v>9</v>
      </c>
      <c r="U268" s="20" t="s">
        <v>42</v>
      </c>
      <c r="V268" s="20" t="s">
        <v>534</v>
      </c>
    </row>
    <row r="269" spans="1:24">
      <c r="A269" s="64" t="str">
        <f t="shared" si="19"/>
        <v>Sarah Burns</v>
      </c>
      <c r="B269" s="44" t="s">
        <v>128</v>
      </c>
      <c r="C269" s="20" t="s">
        <v>1778</v>
      </c>
      <c r="D269" s="5" t="s">
        <v>1777</v>
      </c>
      <c r="J269" s="20" t="s">
        <v>49</v>
      </c>
      <c r="L269" s="20" t="s">
        <v>136</v>
      </c>
      <c r="N269" s="29">
        <v>43769</v>
      </c>
    </row>
    <row r="270" spans="1:24">
      <c r="A270" s="64" t="str">
        <f t="shared" si="19"/>
        <v>Tashi Vaish</v>
      </c>
      <c r="B270" s="44" t="s">
        <v>1779</v>
      </c>
      <c r="C270" s="20" t="s">
        <v>1780</v>
      </c>
      <c r="D270" s="5" t="s">
        <v>1781</v>
      </c>
      <c r="E270" s="106">
        <v>8148529654</v>
      </c>
      <c r="F270" s="77">
        <v>23</v>
      </c>
      <c r="G270" s="65" t="s">
        <v>37</v>
      </c>
      <c r="J270" s="20" t="s">
        <v>49</v>
      </c>
      <c r="L270" s="20" t="s">
        <v>108</v>
      </c>
      <c r="N270" s="29">
        <v>43769</v>
      </c>
      <c r="O270" s="29">
        <v>43769</v>
      </c>
      <c r="P270" s="29" t="s">
        <v>736</v>
      </c>
      <c r="Q270" s="20">
        <v>33</v>
      </c>
      <c r="R270" s="78">
        <v>4</v>
      </c>
      <c r="T270" s="20">
        <v>0</v>
      </c>
      <c r="U270" s="20" t="s">
        <v>102</v>
      </c>
      <c r="V270" s="20" t="s">
        <v>534</v>
      </c>
      <c r="W270" s="20">
        <v>1</v>
      </c>
    </row>
    <row r="271" spans="1:24">
      <c r="A271" s="64" t="str">
        <f t="shared" si="19"/>
        <v>Jenna Smeykal</v>
      </c>
      <c r="B271" s="44" t="s">
        <v>196</v>
      </c>
      <c r="C271" s="20" t="s">
        <v>1783</v>
      </c>
      <c r="D271" s="5" t="s">
        <v>1782</v>
      </c>
      <c r="J271" s="20" t="s">
        <v>49</v>
      </c>
      <c r="L271" s="20" t="s">
        <v>136</v>
      </c>
      <c r="N271" s="29">
        <v>43769</v>
      </c>
    </row>
    <row r="272" spans="1:24">
      <c r="A272" s="64" t="str">
        <f t="shared" si="19"/>
        <v>Olga Prokunina</v>
      </c>
      <c r="B272" s="44" t="s">
        <v>1786</v>
      </c>
      <c r="C272" s="20" t="s">
        <v>1787</v>
      </c>
      <c r="D272" s="5" t="s">
        <v>1785</v>
      </c>
      <c r="G272" s="65" t="s">
        <v>37</v>
      </c>
      <c r="J272" s="20" t="s">
        <v>49</v>
      </c>
      <c r="L272" s="20" t="s">
        <v>136</v>
      </c>
      <c r="N272" s="29">
        <v>43770</v>
      </c>
    </row>
    <row r="273" spans="1:24">
      <c r="A273" s="64" t="s">
        <v>776</v>
      </c>
      <c r="B273" s="44" t="s">
        <v>776</v>
      </c>
      <c r="D273" s="5" t="s">
        <v>1795</v>
      </c>
      <c r="F273" s="77">
        <v>24</v>
      </c>
      <c r="G273" s="65" t="s">
        <v>37</v>
      </c>
      <c r="J273" s="20" t="s">
        <v>1796</v>
      </c>
      <c r="L273" s="20" t="s">
        <v>136</v>
      </c>
      <c r="N273" s="29">
        <v>43770</v>
      </c>
    </row>
    <row r="274" spans="1:24">
      <c r="A274" s="64" t="str">
        <f t="shared" si="19"/>
        <v>Mackenzie Bilger</v>
      </c>
      <c r="B274" s="44" t="s">
        <v>1602</v>
      </c>
      <c r="C274" s="20" t="s">
        <v>1789</v>
      </c>
      <c r="D274" s="5" t="s">
        <v>1788</v>
      </c>
      <c r="G274" s="65" t="s">
        <v>37</v>
      </c>
      <c r="J274" s="20" t="s">
        <v>49</v>
      </c>
      <c r="L274" s="20" t="s">
        <v>136</v>
      </c>
      <c r="N274" s="29">
        <v>43770</v>
      </c>
    </row>
    <row r="275" spans="1:24">
      <c r="A275" s="64" t="str">
        <f t="shared" si="19"/>
        <v>Abbigail Steiner</v>
      </c>
      <c r="B275" s="44" t="s">
        <v>1790</v>
      </c>
      <c r="C275" s="20" t="s">
        <v>1791</v>
      </c>
      <c r="D275" s="5" t="s">
        <v>1792</v>
      </c>
      <c r="G275" s="65" t="s">
        <v>37</v>
      </c>
      <c r="J275" s="20" t="s">
        <v>49</v>
      </c>
      <c r="L275" s="20" t="s">
        <v>136</v>
      </c>
      <c r="N275" s="29">
        <v>43770</v>
      </c>
    </row>
    <row r="276" spans="1:24">
      <c r="A276" s="64" t="str">
        <f t="shared" si="19"/>
        <v>Smriti Gupta</v>
      </c>
      <c r="B276" s="44" t="s">
        <v>1793</v>
      </c>
      <c r="C276" s="20" t="s">
        <v>228</v>
      </c>
      <c r="D276" s="5" t="s">
        <v>1794</v>
      </c>
      <c r="J276" s="20" t="s">
        <v>49</v>
      </c>
      <c r="L276" s="20" t="s">
        <v>136</v>
      </c>
      <c r="N276" s="29">
        <v>43770</v>
      </c>
    </row>
    <row r="277" spans="1:24">
      <c r="A277" s="20" t="s">
        <v>1808</v>
      </c>
      <c r="B277" s="44" t="s">
        <v>1809</v>
      </c>
      <c r="C277" s="20" t="s">
        <v>1810</v>
      </c>
      <c r="D277" s="5" t="s">
        <v>1203</v>
      </c>
      <c r="E277" s="106">
        <v>8149542859</v>
      </c>
      <c r="F277" s="77">
        <v>18</v>
      </c>
      <c r="G277" s="65" t="s">
        <v>37</v>
      </c>
      <c r="J277" s="20" t="s">
        <v>64</v>
      </c>
      <c r="L277" s="20" t="s">
        <v>108</v>
      </c>
      <c r="N277" s="29">
        <v>43773</v>
      </c>
      <c r="O277" s="29">
        <v>43773</v>
      </c>
      <c r="Q277" s="20">
        <v>33</v>
      </c>
      <c r="R277" s="78">
        <v>10</v>
      </c>
      <c r="T277" s="20">
        <v>6</v>
      </c>
      <c r="U277" s="20" t="s">
        <v>102</v>
      </c>
      <c r="V277" s="20" t="s">
        <v>534</v>
      </c>
      <c r="W277" s="20">
        <v>1</v>
      </c>
      <c r="X277" s="20">
        <v>0</v>
      </c>
    </row>
    <row r="278" spans="1:24">
      <c r="A278" s="20" t="s">
        <v>1813</v>
      </c>
      <c r="B278" s="44" t="s">
        <v>1059</v>
      </c>
      <c r="C278" s="20" t="s">
        <v>1811</v>
      </c>
      <c r="D278" s="5" t="s">
        <v>1812</v>
      </c>
      <c r="G278" s="65" t="s">
        <v>37</v>
      </c>
      <c r="J278" s="20" t="s">
        <v>40</v>
      </c>
      <c r="L278" s="20" t="s">
        <v>136</v>
      </c>
      <c r="N278" s="29">
        <v>43773</v>
      </c>
    </row>
    <row r="279" spans="1:24">
      <c r="A279" s="20" t="s">
        <v>1815</v>
      </c>
      <c r="B279" s="44" t="s">
        <v>324</v>
      </c>
      <c r="C279" s="20" t="s">
        <v>1814</v>
      </c>
      <c r="D279" s="5" t="s">
        <v>1816</v>
      </c>
      <c r="G279" s="65" t="s">
        <v>37</v>
      </c>
      <c r="J279" s="20" t="s">
        <v>49</v>
      </c>
      <c r="L279" s="20" t="s">
        <v>136</v>
      </c>
      <c r="N279" s="29">
        <v>43773</v>
      </c>
    </row>
    <row r="280" spans="1:24">
      <c r="A280" s="20" t="s">
        <v>1817</v>
      </c>
      <c r="B280" s="44" t="s">
        <v>1818</v>
      </c>
      <c r="C280" s="20" t="s">
        <v>206</v>
      </c>
      <c r="D280" s="5" t="s">
        <v>1819</v>
      </c>
      <c r="E280" s="106">
        <v>8144412223</v>
      </c>
      <c r="F280" s="77">
        <v>21</v>
      </c>
      <c r="G280" s="65" t="s">
        <v>37</v>
      </c>
      <c r="J280" s="20" t="s">
        <v>49</v>
      </c>
      <c r="L280" s="20" t="s">
        <v>108</v>
      </c>
      <c r="N280" s="29">
        <v>43773</v>
      </c>
      <c r="O280" s="29">
        <v>43773</v>
      </c>
      <c r="P280" s="29" t="s">
        <v>736</v>
      </c>
      <c r="Q280" s="20">
        <v>23</v>
      </c>
      <c r="R280" s="78">
        <v>3</v>
      </c>
      <c r="T280" s="20">
        <v>8</v>
      </c>
      <c r="U280" s="20" t="s">
        <v>42</v>
      </c>
      <c r="V280" s="20" t="s">
        <v>534</v>
      </c>
    </row>
    <row r="281" spans="1:24">
      <c r="A281" s="108" t="s">
        <v>1820</v>
      </c>
      <c r="B281" s="44" t="s">
        <v>785</v>
      </c>
      <c r="C281" s="20" t="s">
        <v>1821</v>
      </c>
      <c r="D281" s="5" t="s">
        <v>1822</v>
      </c>
      <c r="G281" s="65" t="s">
        <v>37</v>
      </c>
      <c r="J281" s="20" t="s">
        <v>49</v>
      </c>
      <c r="L281" s="20" t="s">
        <v>136</v>
      </c>
      <c r="N281" s="29">
        <v>43773</v>
      </c>
    </row>
    <row r="282" spans="1:24">
      <c r="A282" s="108" t="s">
        <v>1823</v>
      </c>
      <c r="B282" s="44" t="s">
        <v>1824</v>
      </c>
      <c r="C282" s="20" t="s">
        <v>1825</v>
      </c>
      <c r="D282" s="5" t="s">
        <v>1826</v>
      </c>
      <c r="E282" s="106">
        <v>7325139403</v>
      </c>
      <c r="F282" s="77">
        <v>25</v>
      </c>
      <c r="G282" s="65" t="s">
        <v>37</v>
      </c>
      <c r="J282" s="20" t="s">
        <v>49</v>
      </c>
      <c r="L282" s="20" t="s">
        <v>41</v>
      </c>
      <c r="N282" s="29">
        <v>43773</v>
      </c>
      <c r="O282" s="29">
        <v>43773</v>
      </c>
      <c r="Q282" s="20">
        <v>16</v>
      </c>
      <c r="R282" s="78">
        <v>5</v>
      </c>
      <c r="T282" s="20">
        <v>3</v>
      </c>
      <c r="U282" s="20" t="s">
        <v>42</v>
      </c>
      <c r="V282" s="20" t="s">
        <v>534</v>
      </c>
    </row>
    <row r="283" spans="1:24">
      <c r="A283" s="20" t="s">
        <v>1828</v>
      </c>
      <c r="B283" s="44" t="s">
        <v>1697</v>
      </c>
      <c r="C283" s="20" t="s">
        <v>1827</v>
      </c>
      <c r="D283" s="5" t="s">
        <v>1829</v>
      </c>
      <c r="G283" s="65" t="s">
        <v>37</v>
      </c>
      <c r="J283" s="20" t="s">
        <v>49</v>
      </c>
      <c r="L283" s="20" t="s">
        <v>136</v>
      </c>
      <c r="N283" s="29">
        <v>43773</v>
      </c>
    </row>
    <row r="284" spans="1:24">
      <c r="A284" s="20" t="s">
        <v>1830</v>
      </c>
      <c r="B284" s="44" t="s">
        <v>45</v>
      </c>
      <c r="C284" s="20" t="s">
        <v>1831</v>
      </c>
      <c r="D284" s="5" t="s">
        <v>1832</v>
      </c>
      <c r="G284" s="65" t="s">
        <v>37</v>
      </c>
      <c r="J284" s="20" t="s">
        <v>49</v>
      </c>
      <c r="L284" s="20" t="s">
        <v>136</v>
      </c>
      <c r="N284" s="29">
        <v>43773</v>
      </c>
    </row>
    <row r="285" spans="1:24">
      <c r="A285" s="20" t="s">
        <v>1833</v>
      </c>
      <c r="B285" s="44" t="s">
        <v>888</v>
      </c>
      <c r="C285" s="20" t="s">
        <v>67</v>
      </c>
      <c r="D285" s="5" t="s">
        <v>1834</v>
      </c>
      <c r="G285" s="65" t="s">
        <v>37</v>
      </c>
      <c r="J285" s="20" t="s">
        <v>49</v>
      </c>
      <c r="L285" s="20" t="s">
        <v>136</v>
      </c>
      <c r="N285" s="29">
        <v>43774</v>
      </c>
    </row>
    <row r="286" spans="1:24">
      <c r="A286" s="20" t="s">
        <v>1835</v>
      </c>
      <c r="B286" s="44" t="s">
        <v>1836</v>
      </c>
      <c r="C286" s="20" t="s">
        <v>1837</v>
      </c>
      <c r="D286" s="5" t="s">
        <v>1838</v>
      </c>
      <c r="G286" s="65" t="s">
        <v>37</v>
      </c>
      <c r="J286" s="20" t="s">
        <v>49</v>
      </c>
      <c r="L286" s="20" t="s">
        <v>136</v>
      </c>
      <c r="N286" s="29">
        <v>43775</v>
      </c>
    </row>
    <row r="287" spans="1:24">
      <c r="A287" s="20" t="s">
        <v>1839</v>
      </c>
      <c r="B287" s="44" t="s">
        <v>1840</v>
      </c>
      <c r="C287" s="20" t="s">
        <v>1841</v>
      </c>
      <c r="D287" s="5" t="s">
        <v>1842</v>
      </c>
      <c r="G287" s="65" t="s">
        <v>37</v>
      </c>
      <c r="J287" s="20" t="s">
        <v>49</v>
      </c>
      <c r="L287" s="20" t="s">
        <v>136</v>
      </c>
      <c r="N287" s="29">
        <v>43776</v>
      </c>
    </row>
    <row r="288" spans="1:24">
      <c r="A288" s="20" t="s">
        <v>1843</v>
      </c>
      <c r="B288" s="44" t="s">
        <v>1430</v>
      </c>
      <c r="C288" s="20" t="s">
        <v>1844</v>
      </c>
      <c r="D288" s="5" t="s">
        <v>1845</v>
      </c>
      <c r="G288" s="65" t="s">
        <v>63</v>
      </c>
      <c r="J288" s="20" t="s">
        <v>64</v>
      </c>
      <c r="L288" s="20" t="s">
        <v>136</v>
      </c>
      <c r="N288" s="29">
        <v>43773</v>
      </c>
    </row>
    <row r="289" spans="1:14">
      <c r="A289" s="20" t="s">
        <v>1846</v>
      </c>
      <c r="B289" s="44" t="s">
        <v>1062</v>
      </c>
      <c r="C289" s="20" t="s">
        <v>1847</v>
      </c>
      <c r="D289" s="5" t="s">
        <v>1848</v>
      </c>
      <c r="G289" s="65" t="s">
        <v>37</v>
      </c>
      <c r="J289" s="20" t="s">
        <v>49</v>
      </c>
      <c r="L289" s="20" t="s">
        <v>136</v>
      </c>
      <c r="N289" s="29">
        <v>43774</v>
      </c>
    </row>
    <row r="290" spans="1:14">
      <c r="A290" s="20" t="s">
        <v>1849</v>
      </c>
      <c r="B290" s="44" t="s">
        <v>1850</v>
      </c>
      <c r="C290" s="20" t="s">
        <v>1851</v>
      </c>
      <c r="D290" s="5" t="s">
        <v>1852</v>
      </c>
      <c r="G290" s="65" t="s">
        <v>37</v>
      </c>
      <c r="J290" s="20" t="s">
        <v>49</v>
      </c>
      <c r="L290" s="20" t="s">
        <v>136</v>
      </c>
      <c r="N290" s="29">
        <v>43775</v>
      </c>
    </row>
    <row r="291" spans="1:14">
      <c r="A291" s="20" t="s">
        <v>1853</v>
      </c>
      <c r="B291" s="44" t="s">
        <v>600</v>
      </c>
      <c r="C291" s="20" t="s">
        <v>1854</v>
      </c>
      <c r="D291" s="5" t="s">
        <v>1855</v>
      </c>
      <c r="G291" s="65" t="s">
        <v>37</v>
      </c>
      <c r="J291" s="20" t="s">
        <v>49</v>
      </c>
      <c r="L291" s="20" t="s">
        <v>136</v>
      </c>
      <c r="N291" s="29">
        <v>43776</v>
      </c>
    </row>
    <row r="292" spans="1:14">
      <c r="B292" s="44"/>
      <c r="D292" s="106"/>
    </row>
  </sheetData>
  <autoFilter ref="A1:AH145" xr:uid="{D65508A9-9C18-4B4B-B27E-B497FECAC832}"/>
  <hyperlinks>
    <hyperlink ref="D21" r:id="rId1" xr:uid="{100D5B6E-9325-E14B-BC23-E2229F5F8A9E}"/>
    <hyperlink ref="D22" r:id="rId2" xr:uid="{A03BCC8E-424F-3A42-9A66-9BC95ECF552C}"/>
    <hyperlink ref="D12" r:id="rId3" xr:uid="{D0284B84-DB7E-8543-A6B9-ED34FBA91141}"/>
    <hyperlink ref="D24" r:id="rId4" xr:uid="{2DF7F3AB-8214-DF46-B100-D57F13F8FEB6}"/>
    <hyperlink ref="D23" r:id="rId5" xr:uid="{0981E2D9-6CA3-FA4F-8F66-02E532EE25AA}"/>
    <hyperlink ref="D25" r:id="rId6" xr:uid="{66CA0FF6-CEEA-3440-B38D-A1D44F173856}"/>
    <hyperlink ref="D26" r:id="rId7" xr:uid="{03933D75-E481-BB43-B1E9-A27F5E73DF1C}"/>
    <hyperlink ref="D5" r:id="rId8" xr:uid="{FF92C3AD-6329-944D-A04C-E3F69BA9BBF9}"/>
    <hyperlink ref="D15" r:id="rId9" xr:uid="{B25FC948-0CE7-1442-BAB8-A83649B69A19}"/>
    <hyperlink ref="D3" r:id="rId10" xr:uid="{E83B2255-5A60-D34B-B14B-8DFB69CE938F}"/>
    <hyperlink ref="D16" r:id="rId11" xr:uid="{1B9B7150-6798-4F4E-90DD-FB8EDE419C55}"/>
    <hyperlink ref="D17" r:id="rId12" xr:uid="{BA601FA3-1E5E-F24B-B911-27F539CC59FB}"/>
    <hyperlink ref="D27" r:id="rId13" xr:uid="{C36AB9A6-91CC-184A-964E-C55F9FE4D861}"/>
    <hyperlink ref="D18" r:id="rId14" xr:uid="{A83993F7-50B5-D146-981A-A289B9150B2F}"/>
    <hyperlink ref="D28" r:id="rId15" xr:uid="{45430F23-96D6-9040-BC79-58862B987806}"/>
    <hyperlink ref="D19" r:id="rId16" xr:uid="{D97F16BB-55A1-7A41-BA0A-052BF649DA8E}"/>
    <hyperlink ref="D29" r:id="rId17" xr:uid="{DDFF2F04-51D1-E54C-9EF9-AEA256E26E7E}"/>
    <hyperlink ref="D20" r:id="rId18" xr:uid="{5F118279-7A99-B948-BD25-37B0FA6BE359}"/>
    <hyperlink ref="D6" r:id="rId19" xr:uid="{F2F418FE-B7C4-2348-845E-4F404B4C6599}"/>
    <hyperlink ref="D30" r:id="rId20" display="mailto:Austinpeiffer10818@gmail.com" xr:uid="{7872CD0D-4DA4-6B46-A2BD-FBC80083554E}"/>
    <hyperlink ref="D31" r:id="rId21" xr:uid="{1CEC283B-D78D-284E-AB48-DD8A3B3B8B39}"/>
    <hyperlink ref="D2" r:id="rId22" xr:uid="{907E5E0A-4B79-0645-9BFF-EB034ED13082}"/>
    <hyperlink ref="D14" r:id="rId23" xr:uid="{E34F07EE-1448-9B46-AD3E-4190C22E77F0}"/>
    <hyperlink ref="D36" r:id="rId24" display="mailto:bburgess22@icloud.com" xr:uid="{22861630-5B6F-7648-98A3-182DE29A086D}"/>
    <hyperlink ref="D35" r:id="rId25" display="mailto:Kte22@psu.edu" xr:uid="{9F3BFDFA-FEC2-0D4E-82AF-E9C6A28F8329}"/>
    <hyperlink ref="D34" r:id="rId26" xr:uid="{8FD1D8AB-9524-A044-B5A1-8DA6C289B33F}"/>
    <hyperlink ref="D38" r:id="rId27" display="mailto:Bstro111@gmail.com" xr:uid="{FBD6A1CE-0425-AA41-BC83-B613FD4E1486}"/>
    <hyperlink ref="D40" r:id="rId28" display="mailto:Herren12370@yahoo.com" xr:uid="{C1F52E7C-5ADE-5C41-B56D-E382F190EEA0}"/>
    <hyperlink ref="D39" r:id="rId29" xr:uid="{5C6EA8F1-C6A3-AA4A-8D37-03E8DAE3A761}"/>
    <hyperlink ref="D41" r:id="rId30" display="mailto:millerkayla42@gmail.com" xr:uid="{21BA43F6-BE74-4A49-B10C-D1D382B19906}"/>
    <hyperlink ref="D42" r:id="rId31" xr:uid="{F7C3F3CC-5632-0D46-A123-2F90F01E6E66}"/>
    <hyperlink ref="D43" r:id="rId32" xr:uid="{19B19554-D875-9B4D-B651-FB25F9C60906}"/>
    <hyperlink ref="D44" r:id="rId33" xr:uid="{12BA97E7-C830-8F41-B3DB-A399BF7D5031}"/>
    <hyperlink ref="D45" r:id="rId34" xr:uid="{66D109A8-62DD-3440-AA9E-586F0543A129}"/>
    <hyperlink ref="D9" r:id="rId35" xr:uid="{3F41CBD7-5B31-AC4B-8497-1C35A5DE4854}"/>
    <hyperlink ref="D55" r:id="rId36" xr:uid="{43CA83FB-8D39-D94E-AB55-FE1B4AC6F570}"/>
    <hyperlink ref="D56" r:id="rId37" xr:uid="{BA8182CF-9F49-AA48-B965-2EBB6EC97802}"/>
    <hyperlink ref="D8" r:id="rId38" xr:uid="{D8962BA3-DB10-324F-88B0-CBBF4EA7F611}"/>
    <hyperlink ref="D64" r:id="rId39" xr:uid="{82921308-7E48-E64E-AE98-A23E2F522EFC}"/>
    <hyperlink ref="D65" r:id="rId40" xr:uid="{2D7755C5-D55B-EC4D-B5CA-0FD42E7ACD08}"/>
    <hyperlink ref="D11" r:id="rId41" xr:uid="{30E427DC-6F8A-FE48-9034-7F837D325C91}"/>
    <hyperlink ref="D66" r:id="rId42" xr:uid="{D0E4DB02-5AF8-2941-82F3-61D53AE59176}"/>
    <hyperlink ref="D67" r:id="rId43" xr:uid="{3CF2A3DE-0DFD-164E-A582-CBFBD24B361D}"/>
    <hyperlink ref="D68" r:id="rId44" xr:uid="{FD9D7224-7791-8144-BC8A-D5D44BE1B1F3}"/>
    <hyperlink ref="D69" r:id="rId45" xr:uid="{D93E5BE8-1168-2147-B26E-BC824DDB68A3}"/>
    <hyperlink ref="D70" r:id="rId46" xr:uid="{B64475AF-AFA1-8942-9A2D-14265062B19A}"/>
    <hyperlink ref="D71" r:id="rId47" display="mailto:AshleyWegner123@gmail.com" xr:uid="{D07C7A05-6FE8-7C48-A76B-C8452BBCE79D}"/>
    <hyperlink ref="D72" r:id="rId48" xr:uid="{3D20C311-2A58-C84F-A1E9-53A2741498A8}"/>
    <hyperlink ref="D73" r:id="rId49" xr:uid="{0F024520-CA88-A44B-A126-1CD88024877E}"/>
    <hyperlink ref="D74" r:id="rId50" xr:uid="{C13BA36A-46F8-4347-8517-1B6A0541AEA7}"/>
    <hyperlink ref="D75" r:id="rId51" xr:uid="{F012FC51-882D-DF42-BC92-06E2A532DC2E}"/>
    <hyperlink ref="D76" r:id="rId52" xr:uid="{4F082534-F536-6543-AA40-D7451504A41D}"/>
    <hyperlink ref="D13" r:id="rId53" xr:uid="{EA803754-B1E2-0644-B68A-8CA8685B5E01}"/>
    <hyperlink ref="D77" r:id="rId54" xr:uid="{4F4111C1-A0BE-9148-9D46-B08D0C251A52}"/>
    <hyperlink ref="D78" r:id="rId55" xr:uid="{90F3B149-F166-8B4B-8A26-6B37746B2252}"/>
    <hyperlink ref="D79" r:id="rId56" xr:uid="{7CEFF4AC-751F-B142-B129-C5C8E2FE1AC0}"/>
    <hyperlink ref="D80" r:id="rId57" xr:uid="{359B9287-9396-3C41-B51D-A660D9F3F059}"/>
    <hyperlink ref="D81" r:id="rId58" xr:uid="{BCC7B8BA-97CF-8A48-B092-E4099C8E0135}"/>
    <hyperlink ref="D82" r:id="rId59" xr:uid="{99FE740D-5657-084F-90E6-2A50A25FF021}"/>
    <hyperlink ref="D83" r:id="rId60" xr:uid="{F17E2CE4-6599-524B-8DA0-E244A8EA0463}"/>
    <hyperlink ref="D84" r:id="rId61" xr:uid="{E87660F5-4B07-174C-AD68-52571886CB6E}"/>
    <hyperlink ref="D85" r:id="rId62" xr:uid="{07184E7E-14BA-B642-BE7F-4E061E1DBB0C}"/>
    <hyperlink ref="D86" r:id="rId63" xr:uid="{F4F7EE4B-8E1D-0E4A-8E54-BCF5CBAB81D8}"/>
    <hyperlink ref="D101" r:id="rId64" xr:uid="{DC9C36C7-CEE9-4D4E-942F-ED4EDA0C86BD}"/>
    <hyperlink ref="D91" r:id="rId65" xr:uid="{8FCA69B4-8D7D-6942-90EA-144F6F742440}"/>
    <hyperlink ref="D92" r:id="rId66" xr:uid="{239D883E-8D7C-EA4D-926C-E398BC29885F}"/>
    <hyperlink ref="D93" r:id="rId67" display="mailto:mrl5442@psu.edu" xr:uid="{6E7B339D-DF41-9846-87FE-740D38B90CE2}"/>
    <hyperlink ref="D94" r:id="rId68" xr:uid="{0970668B-D3AB-3742-8372-7B8EB42F37A8}"/>
    <hyperlink ref="D95" r:id="rId69" xr:uid="{6B412FF1-D0F9-DD47-B87E-0A26C0231202}"/>
    <hyperlink ref="D97" r:id="rId70" xr:uid="{D40A749D-260B-ED4A-AD54-2464BD94F682}"/>
    <hyperlink ref="D90" r:id="rId71" xr:uid="{4363CBB2-0E4A-DF41-9AC4-013E5FBC7A2C}"/>
    <hyperlink ref="D102" r:id="rId72" xr:uid="{6718DC60-62E5-7A4A-9956-DCC302EDFEE6}"/>
    <hyperlink ref="D103" r:id="rId73" xr:uid="{18F0626A-BDAC-0649-BC6C-61043CFE5148}"/>
    <hyperlink ref="D104" r:id="rId74" xr:uid="{DFE725E4-CD16-B44B-9403-2392B8FC988A}"/>
    <hyperlink ref="D105" r:id="rId75" xr:uid="{3C1F855A-579F-0742-A514-976B5CAADC4E}"/>
    <hyperlink ref="D106" r:id="rId76" xr:uid="{05378DAE-6F8D-AD46-9D46-D7AD71462439}"/>
    <hyperlink ref="D110" r:id="rId77" xr:uid="{3D89F3CF-9E9A-AD47-BDB2-F0A3B685165F}"/>
    <hyperlink ref="D111" r:id="rId78" xr:uid="{952B18E3-E483-AF43-888E-BC523C84913F}"/>
    <hyperlink ref="D112" r:id="rId79" xr:uid="{42C94D7A-4699-0946-A3EB-DCB19365D158}"/>
    <hyperlink ref="D109" r:id="rId80" xr:uid="{4E6EF6FC-A4F5-3841-A8C2-72C734417704}"/>
    <hyperlink ref="D113" r:id="rId81" xr:uid="{08FCF20C-6A4F-8342-887A-6C05489446EB}"/>
    <hyperlink ref="D114" r:id="rId82" xr:uid="{CD7B8A87-B3FE-EA49-94E3-8FB49A6F1F36}"/>
    <hyperlink ref="D115" r:id="rId83" xr:uid="{EE65B6B2-B985-6542-A368-DCBE05CDCA80}"/>
    <hyperlink ref="D116" r:id="rId84" xr:uid="{182FBDE2-115E-8D4C-B567-889170D5751D}"/>
    <hyperlink ref="D118" r:id="rId85" xr:uid="{57B01174-AB22-C244-B385-FFCCE35C05E7}"/>
    <hyperlink ref="D119" r:id="rId86" xr:uid="{F1A316EA-3F05-D440-A50B-C36D50FFE102}"/>
    <hyperlink ref="D120" r:id="rId87" xr:uid="{CBF28600-BA6D-8042-AF9F-729E3EB30903}"/>
    <hyperlink ref="D121" r:id="rId88" xr:uid="{D2B5D262-95D6-9840-862C-18F07E4B8663}"/>
    <hyperlink ref="D122" r:id="rId89" xr:uid="{D5E89550-EEE9-BC41-A672-D80569563CCF}"/>
    <hyperlink ref="D123" r:id="rId90" xr:uid="{958DC0B0-C8F4-9349-960E-ACFBF043DED2}"/>
    <hyperlink ref="D125" r:id="rId91" xr:uid="{568C4068-56E5-444B-B146-04DAEE983F65}"/>
    <hyperlink ref="D126" r:id="rId92" xr:uid="{EA6499E0-50FB-284C-975E-3665A4DC43C0}"/>
    <hyperlink ref="D127" r:id="rId93" xr:uid="{D01177AA-A7A5-7148-A31C-4EB01F439B5D}"/>
    <hyperlink ref="D128" r:id="rId94" xr:uid="{F475F58B-FF46-F346-BACD-014138FF215C}"/>
    <hyperlink ref="D129" r:id="rId95" xr:uid="{326157D5-93EA-2E48-BFA6-4730E3B76272}"/>
    <hyperlink ref="D130" r:id="rId96" xr:uid="{BCF2BC7B-9B5C-2640-BCE2-042501A8DD8C}"/>
    <hyperlink ref="D134" r:id="rId97" xr:uid="{67C97041-390D-C74D-8F50-110DD750FC47}"/>
    <hyperlink ref="D138" r:id="rId98" xr:uid="{989777CA-13B3-5746-AB61-65A7D10C5DDD}"/>
    <hyperlink ref="D139" r:id="rId99" xr:uid="{2BA82A4C-725D-C94D-B5CD-1C81A66610B9}"/>
    <hyperlink ref="D140" r:id="rId100" xr:uid="{52B165FC-8DE5-6C46-9944-DCB529B6CABB}"/>
    <hyperlink ref="D141" r:id="rId101" xr:uid="{BDBAA5AD-E761-3749-A734-A1BD2250AF5D}"/>
    <hyperlink ref="D142" r:id="rId102" xr:uid="{7E4F1678-5F0F-6E48-81AD-78D9F2E8CD8E}"/>
    <hyperlink ref="D143" r:id="rId103" xr:uid="{1C13D4C4-2E9D-174D-BE72-A6D0F409BDC2}"/>
    <hyperlink ref="D145" r:id="rId104" xr:uid="{A45EA894-CD14-AB46-8050-DEB779139BF3}"/>
    <hyperlink ref="D146" r:id="rId105" xr:uid="{A15B905F-2DC8-F04D-BE3E-E4779C3F9A76}"/>
    <hyperlink ref="D147" r:id="rId106" xr:uid="{DEE682E5-89FE-384A-8785-F96678C22012}"/>
    <hyperlink ref="D148" r:id="rId107" xr:uid="{FE1B4FFF-427C-F347-8C24-D7827CD81CB0}"/>
    <hyperlink ref="D149" r:id="rId108" xr:uid="{EAE16C46-F4CC-104F-B7E8-DA3CD068B1E3}"/>
    <hyperlink ref="D151" r:id="rId109" xr:uid="{C7B7BBC5-3E24-D74C-ABBF-915ADBF95C22}"/>
    <hyperlink ref="D152" r:id="rId110" xr:uid="{2B061B96-04BB-144B-AB66-FE56D6B43E19}"/>
    <hyperlink ref="D153" r:id="rId111" xr:uid="{03E3BDC7-926A-094F-96BE-F51C6CC1FDB5}"/>
    <hyperlink ref="D154" r:id="rId112" xr:uid="{90BADBD7-858A-5443-991E-20E441584E9C}"/>
    <hyperlink ref="D155" r:id="rId113" xr:uid="{C7F42BF3-4C9F-7C42-9FA1-2FEFC7A48DEF}"/>
    <hyperlink ref="D156" r:id="rId114" xr:uid="{0A406EEE-E709-954A-8F9C-86E0D80D8F6F}"/>
    <hyperlink ref="D157" r:id="rId115" xr:uid="{33427E95-436F-A34C-9AC6-05F373111ACD}"/>
    <hyperlink ref="D158" r:id="rId116" xr:uid="{46EB827D-BD91-AB4A-AB22-296E524BAD89}"/>
    <hyperlink ref="D160" r:id="rId117" xr:uid="{91D645F5-6807-D343-8ECE-3067B4D3D749}"/>
    <hyperlink ref="D161" r:id="rId118" xr:uid="{42F1CDFD-DC1D-E443-9FA3-2B392261CE43}"/>
    <hyperlink ref="D159" r:id="rId119" xr:uid="{A32636B3-F2B8-CC42-BEAC-31940B39A136}"/>
    <hyperlink ref="D162" r:id="rId120" xr:uid="{DBACC0BB-9372-4F4E-8552-9BAF4CC84686}"/>
    <hyperlink ref="D163" r:id="rId121" xr:uid="{4038A8C8-511A-C841-862D-B0E66FA30C01}"/>
    <hyperlink ref="D164" r:id="rId122" xr:uid="{53C38C95-022D-6C4F-A1AB-DCABBAE42C4E}"/>
    <hyperlink ref="D165" r:id="rId123" xr:uid="{A375858A-EBA1-9343-98F7-A5D197561F25}"/>
    <hyperlink ref="D166" r:id="rId124" xr:uid="{591837CE-059E-3344-A38C-63859E1F942A}"/>
    <hyperlink ref="D167" r:id="rId125" xr:uid="{ED7FC3BC-AB69-B446-A8A4-203E5506DF18}"/>
    <hyperlink ref="D168" r:id="rId126" xr:uid="{22B2C449-CC22-3B48-90BF-5C4AB4DA73F2}"/>
    <hyperlink ref="D169" r:id="rId127" xr:uid="{E40A1CDB-4087-3149-A609-9F2B3A935D3E}"/>
    <hyperlink ref="D170" r:id="rId128" xr:uid="{9EC8BF8E-C340-4945-909F-AFD58B579F44}"/>
    <hyperlink ref="D171" r:id="rId129" xr:uid="{A82EC8DA-BC8E-FB49-BAC2-4DCECC5AC656}"/>
    <hyperlink ref="D172" r:id="rId130" xr:uid="{48401385-9447-F94F-B03B-DF02D9E0CE7D}"/>
    <hyperlink ref="D173" r:id="rId131" xr:uid="{C921423E-E14A-F841-83BF-5B0F8B2376F6}"/>
    <hyperlink ref="D175" r:id="rId132" xr:uid="{0082948F-1C6E-8147-8BCA-5228C211444F}"/>
    <hyperlink ref="D176" r:id="rId133" xr:uid="{14F64F9B-17E7-3442-B6E6-D8713A78D291}"/>
    <hyperlink ref="D177" r:id="rId134" xr:uid="{4A52F86B-0406-4931-8701-45CDE585C4A7}"/>
    <hyperlink ref="D178" r:id="rId135" xr:uid="{D75C11CC-1D35-450F-A868-2BD3289038A9}"/>
    <hyperlink ref="D179" r:id="rId136" xr:uid="{8E9D3163-90EE-4F92-983F-DD862F0E3198}"/>
    <hyperlink ref="D180" r:id="rId137" xr:uid="{5CC21A67-1FAE-44F8-8DA8-3A72D1F20125}"/>
    <hyperlink ref="D174" r:id="rId138" xr:uid="{6A5E46C4-F0DA-4531-AFD6-44B66B08BDA7}"/>
    <hyperlink ref="D181" r:id="rId139" xr:uid="{29CC201A-2D76-4E93-9149-94FBF0B44CCC}"/>
    <hyperlink ref="D182" r:id="rId140" xr:uid="{C60DAA97-F4E4-4AE9-9914-190D87247B16}"/>
    <hyperlink ref="D183" r:id="rId141" xr:uid="{40300AC9-5DD8-4F48-9693-7280A66FD265}"/>
    <hyperlink ref="D184" r:id="rId142" xr:uid="{F47532FA-8815-4DA6-B62E-1F1B2237464D}"/>
    <hyperlink ref="D185" r:id="rId143" xr:uid="{EE1E356C-0F05-4CF6-B4E7-2C9D7054A312}"/>
    <hyperlink ref="D186" r:id="rId144" xr:uid="{F9B47870-83B7-4E14-B38F-1EC3BBF2D808}"/>
    <hyperlink ref="D187" r:id="rId145" xr:uid="{DB122F4C-86D6-413F-A3E0-4139536736D8}"/>
    <hyperlink ref="D188" r:id="rId146" xr:uid="{FDE96171-6136-4495-9F41-02F80C74A1D1}"/>
    <hyperlink ref="D189" r:id="rId147" xr:uid="{1DB7360F-164F-4C68-A5DB-C25BD99E48E9}"/>
    <hyperlink ref="D190" r:id="rId148" xr:uid="{F308EF25-BA9A-4A3D-8E5D-C831F4D3481D}"/>
    <hyperlink ref="D191" r:id="rId149" xr:uid="{41A01FAD-F3E0-7149-BA89-780237656A7C}"/>
    <hyperlink ref="D192" r:id="rId150" xr:uid="{35340C01-0D65-6842-A979-E7371031D0A9}"/>
    <hyperlink ref="D193" r:id="rId151" xr:uid="{04FEBE27-44B3-3E44-BA5B-AB4ED519BAA4}"/>
    <hyperlink ref="D194" r:id="rId152" xr:uid="{A126560A-8FED-EE45-A578-99DADADE054B}"/>
    <hyperlink ref="D195" r:id="rId153" xr:uid="{4DB20C66-B0BC-8D49-813E-CB402F2350A6}"/>
    <hyperlink ref="D197" r:id="rId154" xr:uid="{A12B2F20-9A61-9849-B751-880D13EB7AC0}"/>
    <hyperlink ref="D196" r:id="rId155" display="mailto:Exs5335@psu.edu" xr:uid="{015953C8-9FD0-8D43-8BDE-2DC63ECDFD84}"/>
    <hyperlink ref="D198" r:id="rId156" xr:uid="{5EC28D64-DAA9-484F-A68C-5A01C0632CFC}"/>
    <hyperlink ref="D199" r:id="rId157" xr:uid="{C5216A38-8E65-9B45-9F20-A7D926270579}"/>
    <hyperlink ref="D200" r:id="rId158" xr:uid="{CCBD2CF5-F25B-2F4F-A5E8-C9EFAD224F5F}"/>
    <hyperlink ref="D201" r:id="rId159" xr:uid="{409E8534-8986-1947-954D-0F66444B8123}"/>
    <hyperlink ref="D202" r:id="rId160" xr:uid="{59902B3D-054D-2F4E-B76D-ACBBE7D61F08}"/>
    <hyperlink ref="D203" r:id="rId161" xr:uid="{7E5439C7-B20A-CA46-B0E9-33037D902B55}"/>
    <hyperlink ref="D204" r:id="rId162" xr:uid="{5994B54D-AE6C-DB47-818D-EE7A8014D64F}"/>
    <hyperlink ref="D205" r:id="rId163" xr:uid="{DFD9FFC3-0257-D54A-8B60-264F64A876B3}"/>
    <hyperlink ref="D206" r:id="rId164" xr:uid="{FAB95D43-06EE-3346-94CD-4CE4564450B9}"/>
    <hyperlink ref="D207" r:id="rId165" xr:uid="{4C46CBB8-817B-B847-810C-1F47B693FFD6}"/>
    <hyperlink ref="D209" r:id="rId166" xr:uid="{0EB281D4-3C54-CB43-BCB4-8C4A4E568221}"/>
    <hyperlink ref="D208" r:id="rId167" xr:uid="{4AB7A204-C96A-854E-ADDB-014515B7538B}"/>
    <hyperlink ref="D214" r:id="rId168" xr:uid="{686DE989-1D51-354D-BDF9-E2EDACB203E2}"/>
    <hyperlink ref="D216" r:id="rId169" display="mailto:eal259@psu.edu" xr:uid="{4A8F5BFB-A312-4397-809D-9101511DDA26}"/>
    <hyperlink ref="D217" r:id="rId170" display="mailto:aaw5303@psu.edu" xr:uid="{D88A232D-7997-42E2-AEDF-DA6BFA7B933E}"/>
    <hyperlink ref="D218" r:id="rId171" display="mailto:Jonesam17@juniata.edu" xr:uid="{5B158129-215B-4790-B32A-B7F0423D16FE}"/>
    <hyperlink ref="D219" r:id="rId172" display="mailto:Rjd5430@psu.edu" xr:uid="{9291D16F-5F6B-4704-AA09-159F600FF2CC}"/>
    <hyperlink ref="D220" r:id="rId173" display="mailto:emb26@pct.edu" xr:uid="{AF913C01-CA98-45E4-99BB-1E85EAC44F37}"/>
    <hyperlink ref="D221" r:id="rId174" display="mailto:Bnaculich@gmail.com" xr:uid="{662ED692-A41D-4DD2-A487-38C576E031E2}"/>
    <hyperlink ref="D222" r:id="rId175" xr:uid="{58630EE5-E705-F443-859D-9C16DBCD688D}"/>
    <hyperlink ref="D223" r:id="rId176" xr:uid="{080E7F01-6CF5-BB4C-A159-451FA0B58E0E}"/>
    <hyperlink ref="D224" r:id="rId177" xr:uid="{12178394-9452-9645-9C93-AF9331305DC6}"/>
    <hyperlink ref="D225" r:id="rId178" xr:uid="{B9491A30-B465-BA42-9292-8BC811BA7A8B}"/>
    <hyperlink ref="D226" r:id="rId179" xr:uid="{A158CACC-425B-F04A-BA1C-513337CBC37E}"/>
    <hyperlink ref="D227" r:id="rId180" xr:uid="{F23DC415-1199-034D-9D9F-D6F2A8863A5C}"/>
    <hyperlink ref="D228" r:id="rId181" xr:uid="{08522F31-B760-0042-B95A-51C5A934D839}"/>
    <hyperlink ref="D229" r:id="rId182" xr:uid="{458B7DF9-5A0F-2C49-9312-4A08BF427C83}"/>
    <hyperlink ref="D230" r:id="rId183" xr:uid="{497205D8-A0B1-E24B-B6D2-05C838D32A63}"/>
    <hyperlink ref="D231" r:id="rId184" xr:uid="{85DE235C-3A09-0A4E-9DE1-87D7BEBAAA82}"/>
    <hyperlink ref="D232" r:id="rId185" xr:uid="{3DD3B1F0-F26E-5F45-A525-A87E6416A789}"/>
    <hyperlink ref="D233" r:id="rId186" xr:uid="{690AE72A-3B97-694D-8824-863CAFA7D5AA}"/>
    <hyperlink ref="D234" r:id="rId187" xr:uid="{4611AD65-B20E-7644-A47C-F7A19B899514}"/>
    <hyperlink ref="D235" r:id="rId188" xr:uid="{B157438E-23D7-B44F-B64F-133C940DDD06}"/>
    <hyperlink ref="D236" r:id="rId189" xr:uid="{B613D088-58A8-9749-943B-EFC68DB6D172}"/>
    <hyperlink ref="D237" r:id="rId190" xr:uid="{1DC888E0-755F-5449-B015-2DF9834DBF5E}"/>
    <hyperlink ref="D238" r:id="rId191" xr:uid="{B62B51DF-1172-044B-A7FF-8FAD505BC1B3}"/>
    <hyperlink ref="D239" r:id="rId192" xr:uid="{84761324-C870-0C48-A36B-D7DFAA222573}"/>
    <hyperlink ref="D240" r:id="rId193" xr:uid="{A24E064C-3F8F-E742-AEA6-68BEC90AB3ED}"/>
    <hyperlink ref="D241" r:id="rId194" xr:uid="{D0A4366D-C50B-AD49-819D-D76AFAACF3D5}"/>
    <hyperlink ref="D242" r:id="rId195" display="mailto:tyh5094@psu.edu" xr:uid="{F94628F7-2435-C34D-9118-DA8A6D931826}"/>
    <hyperlink ref="D243" r:id="rId196" xr:uid="{ABF8CE90-E539-44FD-9DB3-2AEF840BF495}"/>
    <hyperlink ref="D244" r:id="rId197" display="mailto:Stravis@bigspring.k12.pa.us" xr:uid="{53100622-ED23-4C39-AED9-E249DC368614}"/>
    <hyperlink ref="D245" r:id="rId198" display="mailto:Sarahlong127@gmail.com" xr:uid="{77E9876E-3C85-4F50-9245-E36A12DCEA66}"/>
    <hyperlink ref="D246" r:id="rId199" display="mailto:lkeefer@live.esu.edu" xr:uid="{1568D117-CD94-4F08-B49D-61161483CE43}"/>
    <hyperlink ref="D247" r:id="rId200" xr:uid="{0268CB14-2572-4431-9E80-7F98433D2087}"/>
    <hyperlink ref="D248" r:id="rId201" display="mailto:Rjm6483@psu.edu" xr:uid="{8AAB1162-DB4A-42D4-A972-401403EC7333}"/>
    <hyperlink ref="D249" r:id="rId202" display="mailto:rma4711@lockhaven.edu" xr:uid="{2D66D453-BE31-44E5-9152-3136349D7C97}"/>
    <hyperlink ref="D250" r:id="rId203" display="mailto:Hcf5048@psu.edu" xr:uid="{D5168AC2-C0AA-42A6-9C31-5363A7361DCF}"/>
    <hyperlink ref="D251" r:id="rId204" display="mailto:merandakeister@yahoo.com" xr:uid="{38046582-DFBC-4D2B-B836-0D25451985F9}"/>
    <hyperlink ref="D252" r:id="rId205" display="mailto:ced5436@psu.edu" xr:uid="{60F2A01A-546C-4A82-8924-B31F13E226EB}"/>
    <hyperlink ref="D253" r:id="rId206" display="mailto:aurora.k.nyman@gmail.com" xr:uid="{5AFCE4B2-4421-4211-8C8B-894020FB5008}"/>
    <hyperlink ref="D254" r:id="rId207" display="mailto:graciecain4@gmail.com" xr:uid="{9CAA421D-FCBE-412C-873D-2638D0B768B6}"/>
    <hyperlink ref="D255" r:id="rId208" display="mailto:Erj5094@psu.edu" xr:uid="{B94969DF-BB77-4FB4-BB07-1A01D57D5EFD}"/>
    <hyperlink ref="D256" r:id="rId209" display="mailto:ald3891@gmail.com" xr:uid="{5A158D46-9287-4EC4-8FF1-9CDA5E9403C9}"/>
    <hyperlink ref="D257" r:id="rId210" display="mailto:weaverraine@gmail.com" xr:uid="{EBBC8D50-B00D-499C-9B49-DC79E5357D54}"/>
    <hyperlink ref="D258" r:id="rId211" display="mailto:rothrockm62@gmail.com" xr:uid="{F6BBF870-9B6F-445B-A5BD-1B72245D3A30}"/>
    <hyperlink ref="D259" r:id="rId212" display="mailto:emma.houtz@gmail.com" xr:uid="{15BE3A29-45B6-40FA-A920-B1611302DCA7}"/>
    <hyperlink ref="D260" r:id="rId213" display="mailto:Bmh5494@psu.edu" xr:uid="{52BB24A2-3A8C-4367-852B-D7CF014AC56B}"/>
    <hyperlink ref="D261" r:id="rId214" display="mailto:Albingaman98@gmail.com" xr:uid="{E4304912-CE8F-42DB-855C-187118220C7B}"/>
    <hyperlink ref="D262" r:id="rId215" display="mailto:neidigalyssa@yahoo.com" xr:uid="{314CA54C-317B-4878-9FE3-7A81CDDDEDA0}"/>
    <hyperlink ref="D264" r:id="rId216" xr:uid="{120F97F0-27C3-450D-93E7-453E8D818C60}"/>
    <hyperlink ref="D265" r:id="rId217" display="mailto:lauraj4syth@gmail.com" xr:uid="{56D01EB1-E548-4F0E-87C1-155242381F4A}"/>
    <hyperlink ref="D266" r:id="rId218" display="mailto:sjh5752@psu.edu" xr:uid="{BA1FB2B3-F422-4294-A4B6-18206A5DBE91}"/>
    <hyperlink ref="D267" r:id="rId219" display="mailto:ajr5809@psu.edu" xr:uid="{A14C34A3-C9B5-4BDE-879D-B9D73190F91B}"/>
    <hyperlink ref="D268" r:id="rId220" display="mailto:nar5235@psu.edu" xr:uid="{5F1EB8B4-0F77-451C-BF94-79EEA552991C}"/>
    <hyperlink ref="D269" r:id="rId221" display="mailto:Burnss@susqu.edu" xr:uid="{52264C68-8430-4716-8FB2-B43B726A0D1B}"/>
    <hyperlink ref="D270" r:id="rId222" xr:uid="{E41E6D16-AB85-4716-AD9B-FBF86AE81741}"/>
    <hyperlink ref="D271" r:id="rId223" display="mailto:jennasmeykal@gmail.com" xr:uid="{3E9B8866-620B-46DA-8032-F5CFDCA23688}"/>
    <hyperlink ref="D272" r:id="rId224" display="mailto:oprokunina@pennstatehealth.psu.edu" xr:uid="{4C60AF77-0E99-C045-AFF2-318CF429F586}"/>
    <hyperlink ref="D274" r:id="rId225" xr:uid="{E5375BFA-6357-934F-86D8-D1AE34F6637D}"/>
    <hyperlink ref="D275" r:id="rId226" display="mailto:ams75273@huskies.bloomu.edu" xr:uid="{EB18BF28-B2A8-5C47-882F-EC71D55CDD77}"/>
    <hyperlink ref="D276" r:id="rId227" xr:uid="{4B9AA508-36AD-274C-8ED7-259A551AE9F2}"/>
    <hyperlink ref="D273" r:id="rId228" xr:uid="{07A24E6E-8122-114D-B3D2-F254169A298C}"/>
    <hyperlink ref="D277" r:id="rId229" xr:uid="{A5DE98FB-01AA-B245-9602-FCD1E3BA5DC6}"/>
    <hyperlink ref="D278" r:id="rId230" display="mailto:jmy5324@psu.edu" xr:uid="{DEFB1EFF-94D2-404E-AF5B-494D9AB2D160}"/>
    <hyperlink ref="D279" r:id="rId231" display="mailto:cassidy.lenox@yahoo.com" xr:uid="{A263D06F-ABC8-2D4E-864B-47BC1BB4AC83}"/>
    <hyperlink ref="D280" r:id="rId232" xr:uid="{B3C3FD5B-5E7D-3443-85A6-F8F7CFA2E6AF}"/>
    <hyperlink ref="D281" r:id="rId233" display="mailto:Alexiseverhart17@icloud.com" xr:uid="{E01FD5F9-C393-3343-8693-1FE6857591A1}"/>
    <hyperlink ref="D282" r:id="rId234" display="mailto:Jacquelinedlepore@gmail.com" xr:uid="{AEC2A24A-7F29-1F48-8922-2261407AFD15}"/>
    <hyperlink ref="D283" r:id="rId235" xr:uid="{2A6924C7-8C67-B046-B230-88DC17FA9C77}"/>
    <hyperlink ref="D284" r:id="rId236" xr:uid="{E5BC333B-70CF-F44E-8A2D-46DE3AEB5ACF}"/>
    <hyperlink ref="D285" r:id="rId237" xr:uid="{BEA42F00-2421-9046-A71E-3A524D2A5E38}"/>
    <hyperlink ref="D286" r:id="rId238" xr:uid="{D435E5B3-215F-3A4E-B900-74FF68270C13}"/>
    <hyperlink ref="D287" r:id="rId239" xr:uid="{C526F714-0C37-8140-BC63-0C776D8C1323}"/>
    <hyperlink ref="D288" r:id="rId240" xr:uid="{A75DADE2-8F60-1446-8B6B-07BB195CA1DA}"/>
    <hyperlink ref="D289" r:id="rId241" xr:uid="{F12B8131-61B7-A24F-A68B-7142613323F9}"/>
    <hyperlink ref="D290" r:id="rId242" xr:uid="{8AB0EE79-C353-7B4F-AAB8-DCEE349931AA}"/>
    <hyperlink ref="D291" r:id="rId243" xr:uid="{548C37AC-D8E6-4541-8C9C-38644301AB61}"/>
  </hyperlinks>
  <pageMargins left="0.7" right="0.7" top="0.75" bottom="0.75" header="0.3" footer="0.3"/>
  <pageSetup orientation="portrait" r:id="rId24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2722-A715-994A-8368-407263DD7298}">
  <dimension ref="A1:R77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1" defaultRowHeight="16"/>
  <cols>
    <col min="3" max="3" width="11" style="22"/>
    <col min="7" max="7" width="16.83203125" customWidth="1"/>
    <col min="8" max="8" width="19" style="22" customWidth="1"/>
    <col min="9" max="9" width="18.5" customWidth="1"/>
    <col min="10" max="10" width="16.83203125" style="22" customWidth="1"/>
    <col min="11" max="11" width="11.6640625" bestFit="1" customWidth="1"/>
    <col min="12" max="12" width="12.6640625" bestFit="1" customWidth="1"/>
    <col min="13" max="13" width="17.83203125" customWidth="1"/>
    <col min="14" max="14" width="20.5" customWidth="1"/>
    <col min="15" max="15" width="14.83203125" customWidth="1"/>
    <col min="17" max="17" width="12.6640625" bestFit="1" customWidth="1"/>
    <col min="18" max="18" width="6.83203125" customWidth="1"/>
  </cols>
  <sheetData>
    <row r="1" spans="1:18" s="10" customFormat="1">
      <c r="A1" s="10" t="s">
        <v>1497</v>
      </c>
      <c r="B1" s="10" t="s">
        <v>1498</v>
      </c>
      <c r="C1" s="10" t="s">
        <v>1499</v>
      </c>
      <c r="D1" s="10" t="s">
        <v>7</v>
      </c>
      <c r="E1" s="10" t="s">
        <v>1500</v>
      </c>
      <c r="F1" s="10" t="s">
        <v>1501</v>
      </c>
      <c r="G1" s="10" t="s">
        <v>1502</v>
      </c>
      <c r="H1" s="10" t="s">
        <v>1503</v>
      </c>
      <c r="I1" s="10" t="s">
        <v>1504</v>
      </c>
      <c r="J1" s="10" t="s">
        <v>1505</v>
      </c>
      <c r="K1" s="10" t="s">
        <v>1506</v>
      </c>
      <c r="L1" s="10" t="s">
        <v>1507</v>
      </c>
      <c r="M1" s="10" t="s">
        <v>1508</v>
      </c>
      <c r="N1" s="10" t="s">
        <v>1509</v>
      </c>
      <c r="O1" s="10" t="s">
        <v>1510</v>
      </c>
      <c r="Q1" s="17"/>
      <c r="R1" s="16"/>
    </row>
    <row r="2" spans="1:18">
      <c r="A2" s="22">
        <v>1</v>
      </c>
      <c r="B2" s="22">
        <v>1</v>
      </c>
      <c r="C2" s="22" t="s">
        <v>1511</v>
      </c>
      <c r="D2" s="22" t="s">
        <v>70</v>
      </c>
      <c r="E2" s="22">
        <v>0</v>
      </c>
      <c r="F2" s="22">
        <f>COUNTIFS(Flow!H:H,4,Flow!I:I,2019,Flow!C:C,"BPD",Flow!F:F,0)</f>
        <v>0</v>
      </c>
      <c r="G2" s="22">
        <f>COUNTIFS(Flow!H:H,4,Flow!I:I,2019,Flow!C:C,"BPD",Flow!F:F,1,Flow!G:G,1)</f>
        <v>0</v>
      </c>
      <c r="H2" s="22">
        <f ca="1">COUNTIFS(Flow!C:C, "BPD", Flow!G:G, 0, Flow!H:H, 4,Flow!I:I, 2019, Flow!F:F, 1)</f>
        <v>0</v>
      </c>
      <c r="I2" s="22">
        <f ca="1">COUNTIFS(Flow!C:C, "BPD", Flow!F:F, 1, Flow!H:H, 4)</f>
        <v>0</v>
      </c>
      <c r="J2" s="22">
        <f>COUNTIFS(Flow!C:C, "BPD", Flow!D:D, "Y", Flow!H:H, 4, Flow!I:I,2019)</f>
        <v>0</v>
      </c>
      <c r="K2" s="22">
        <f>SUM(E$2:E2)</f>
        <v>0</v>
      </c>
      <c r="L2" s="22">
        <f>SUM(F$2:F2)</f>
        <v>0</v>
      </c>
      <c r="M2" s="22">
        <f>SUM(G$2:G2)</f>
        <v>0</v>
      </c>
      <c r="N2" s="22">
        <f ca="1">SUM(I2)</f>
        <v>0</v>
      </c>
      <c r="O2" s="22">
        <f>SUM(J2)</f>
        <v>0</v>
      </c>
      <c r="P2" s="22"/>
      <c r="Q2" s="15"/>
      <c r="R2" s="14"/>
    </row>
    <row r="3" spans="1:18">
      <c r="A3" s="22">
        <v>1</v>
      </c>
      <c r="B3" s="22">
        <v>2</v>
      </c>
      <c r="C3" s="22" t="s">
        <v>1512</v>
      </c>
      <c r="D3" s="22" t="s">
        <v>70</v>
      </c>
      <c r="E3" s="22">
        <v>0</v>
      </c>
      <c r="F3" s="22">
        <f>COUNTIFS(Flow!H:H,5,Flow!I:I,2019,Flow!C:C,"BPD",Flow!F:F,0)</f>
        <v>0</v>
      </c>
      <c r="G3" s="22">
        <f>COUNTIFS(Flow!H:H,5,Flow!I:I,2019,Flow!C:C,"BPD",Flow!F:F,1,Flow!G:G,1)</f>
        <v>0</v>
      </c>
      <c r="H3" s="22">
        <f ca="1">COUNTIFS(Flow!C:C, "BPD", Flow!G:G, 0, Flow!H:H, 5,Flow!I:I, 2019, Flow!F:F, 1)</f>
        <v>0</v>
      </c>
      <c r="I3" s="22">
        <f ca="1">COUNTIFS(Flow!C:C, "BPD", Flow!F:F, 1, Flow!H:H, 5)</f>
        <v>0</v>
      </c>
      <c r="J3" s="22">
        <f>COUNTIFS(Flow!C:C, "BPD", Flow!D:D, "Y", Flow!H:H, 5, Flow!I:I,2019)</f>
        <v>0</v>
      </c>
      <c r="K3" s="22">
        <f>SUM(E$2:E3)</f>
        <v>0</v>
      </c>
      <c r="L3" s="22">
        <f>SUM(F$2:F3)</f>
        <v>0</v>
      </c>
      <c r="M3" s="22">
        <f>SUM(G$2:G3)</f>
        <v>0</v>
      </c>
      <c r="N3" s="22">
        <f ca="1">SUM(I2:I3)</f>
        <v>0</v>
      </c>
      <c r="O3" s="22">
        <f>SUM(J2:J3)</f>
        <v>0</v>
      </c>
      <c r="P3" s="22"/>
      <c r="Q3" s="7"/>
      <c r="R3" s="14"/>
    </row>
    <row r="4" spans="1:18">
      <c r="A4" s="22">
        <v>1</v>
      </c>
      <c r="B4" s="22">
        <v>3</v>
      </c>
      <c r="C4" s="22" t="s">
        <v>1513</v>
      </c>
      <c r="D4" s="22" t="s">
        <v>70</v>
      </c>
      <c r="E4" s="22">
        <v>0</v>
      </c>
      <c r="F4" s="22">
        <f>COUNTIFS(Flow!H:H,6,Flow!I:I,2019,Flow!C:C,"BPD",Flow!F:F,0)</f>
        <v>0</v>
      </c>
      <c r="G4" s="22">
        <f>COUNTIFS(Flow!H:H,6,Flow!I:I,2019,Flow!C:C,"BPD",Flow!F:F,1,Flow!G:G,1)</f>
        <v>0</v>
      </c>
      <c r="H4" s="22">
        <f ca="1">COUNTIFS(Flow!C:C, "BPD", Flow!G:G, 0, Flow!H:H, 6,Flow!I:I, 2019, Flow!F:F, 1)</f>
        <v>0</v>
      </c>
      <c r="I4" s="22">
        <f ca="1">COUNTIFS(Flow!C:C, "BPD", Flow!F:F, 1, Flow!H:H, 6)</f>
        <v>0</v>
      </c>
      <c r="J4" s="22">
        <f>COUNTIFS(Flow!C:C, "BPD", Flow!D:D, "Y", Flow!H:H, 6, Flow!I:I,2019)</f>
        <v>0</v>
      </c>
      <c r="K4" s="22">
        <f>SUM(E$2:E4)</f>
        <v>0</v>
      </c>
      <c r="L4" s="22">
        <f>SUM(F$2:F4)</f>
        <v>0</v>
      </c>
      <c r="M4" s="22">
        <f>SUM(G$2:G4)</f>
        <v>0</v>
      </c>
      <c r="N4" s="22">
        <f ca="1">SUM(I2:I4)</f>
        <v>0</v>
      </c>
      <c r="O4" s="22">
        <f>SUM(J2:J4)</f>
        <v>0</v>
      </c>
      <c r="P4" s="22"/>
      <c r="Q4" s="7"/>
      <c r="R4" s="14"/>
    </row>
    <row r="5" spans="1:18">
      <c r="A5" s="22">
        <v>1</v>
      </c>
      <c r="B5" s="22">
        <v>4</v>
      </c>
      <c r="C5" s="22" t="s">
        <v>1514</v>
      </c>
      <c r="D5" s="22" t="s">
        <v>70</v>
      </c>
      <c r="E5" s="22">
        <v>0</v>
      </c>
      <c r="F5" s="22">
        <f>COUNTIFS(Flow!H:H,7,Flow!I:I,2019,Flow!C:C,"BPD",Flow!F:F,0)</f>
        <v>0</v>
      </c>
      <c r="G5" s="22">
        <f>COUNTIFS(Flow!H:H,7,Flow!I:I,2019,Flow!C:C,"BPD",Flow!F:F,1,Flow!G:G,1)</f>
        <v>0</v>
      </c>
      <c r="H5" s="22">
        <f ca="1">COUNTIFS(Flow!C:C, "BPD", Flow!G:G, 0, Flow!H:H, 7,Flow!I:I, 2019, Flow!F:F, 1)</f>
        <v>0</v>
      </c>
      <c r="I5" s="22">
        <f ca="1">COUNTIFS(Flow!C:C, "BPD", Flow!F:F, 1, Flow!H:H, 7)</f>
        <v>0</v>
      </c>
      <c r="J5" s="22">
        <f>COUNTIFS(Flow!C:C, "BPD", Flow!D:D, "Y", Flow!H:H, 7, Flow!I:I,2019)</f>
        <v>0</v>
      </c>
      <c r="K5" s="22">
        <f>SUM(E$2:E5)</f>
        <v>0</v>
      </c>
      <c r="L5" s="22">
        <f>SUM(F$2:F5)</f>
        <v>0</v>
      </c>
      <c r="M5" s="22">
        <f>SUM(G$2:G5)</f>
        <v>0</v>
      </c>
      <c r="N5" s="22">
        <f ca="1">SUM(I2:I5)</f>
        <v>0</v>
      </c>
      <c r="O5" s="22">
        <f>SUM(J2:J5)</f>
        <v>0</v>
      </c>
      <c r="P5" s="22"/>
      <c r="Q5" s="7"/>
      <c r="R5" s="14"/>
    </row>
    <row r="6" spans="1:18">
      <c r="A6" s="22">
        <v>1</v>
      </c>
      <c r="B6" s="22">
        <v>5</v>
      </c>
      <c r="C6" s="22" t="s">
        <v>1515</v>
      </c>
      <c r="D6" s="22" t="s">
        <v>70</v>
      </c>
      <c r="E6" s="22">
        <v>1</v>
      </c>
      <c r="F6" s="22">
        <f ca="1">COUNTIFS(Flow!H:H,8,Flow!I:I,2019,Flow!C:C,"BPD",Flow!F:F,0)</f>
        <v>0</v>
      </c>
      <c r="G6" s="22">
        <f ca="1">COUNTIFS(Flow!H:H,8,Flow!I:I,2019,Flow!C:C,"BPD",Flow!F:F,1,Flow!G:G,1)</f>
        <v>0</v>
      </c>
      <c r="H6" s="22">
        <f ca="1">COUNTIFS(Flow!C:C, "BPD", Flow!G:G, 0, Flow!H:H, 8,Flow!I:I, 2019, Flow!F:F, 1)</f>
        <v>1</v>
      </c>
      <c r="I6" s="22">
        <f ca="1">COUNTIFS(Flow!C:C, "BPD", Flow!F:F, 1, Flow!H:H, 8)</f>
        <v>1</v>
      </c>
      <c r="J6" s="22">
        <f>COUNTIFS(Flow!C:C, "BPD", Flow!D:D, "Y", Flow!H:H, 8, Flow!I:I,2019)</f>
        <v>0</v>
      </c>
      <c r="K6" s="22">
        <f>SUM(E$2:E6)</f>
        <v>1</v>
      </c>
      <c r="L6" s="22">
        <f ca="1">SUM(F$2:F6)</f>
        <v>0</v>
      </c>
      <c r="M6" s="22">
        <f ca="1">SUM(G$2:G6)</f>
        <v>0</v>
      </c>
      <c r="N6" s="22">
        <f ca="1">SUM(I2:I6)</f>
        <v>1</v>
      </c>
      <c r="O6" s="22">
        <f>SUM(J2:J6)</f>
        <v>0</v>
      </c>
      <c r="P6" s="22"/>
      <c r="Q6" s="7"/>
      <c r="R6" s="14"/>
    </row>
    <row r="7" spans="1:18">
      <c r="A7" s="22">
        <v>1</v>
      </c>
      <c r="B7" s="22">
        <v>6</v>
      </c>
      <c r="C7" s="22" t="s">
        <v>1516</v>
      </c>
      <c r="D7" s="22" t="s">
        <v>70</v>
      </c>
      <c r="E7" s="22">
        <v>1</v>
      </c>
      <c r="F7" s="22">
        <f ca="1">COUNTIFS(Flow!H:H,9,Flow!I:I,2019,Flow!C:C,"BPD",Flow!F:F,0)</f>
        <v>0</v>
      </c>
      <c r="G7" s="22">
        <f ca="1">COUNTIFS(Flow!H:H,9,Flow!I:I,2019,Flow!C:C,"BPD",Flow!F:F,1,Flow!G:G,1)</f>
        <v>2</v>
      </c>
      <c r="H7" s="22">
        <f ca="1">COUNTIFS(Flow!C:C, "BPD", Flow!G:G, 0, Flow!H:H, 9,Flow!I:I, 2019, Flow!F:F, 1)</f>
        <v>5</v>
      </c>
      <c r="I7" s="22">
        <f ca="1">COUNTIFS(Flow!C:C, "BPD", Flow!F:F, 1, Flow!H:H, 9)</f>
        <v>7</v>
      </c>
      <c r="J7" s="22">
        <f>COUNTIFS(Flow!C:C, "BPD", Flow!D:D, "Y", Flow!H:H, 9, Flow!I:I,2019)</f>
        <v>1</v>
      </c>
      <c r="K7" s="22">
        <f>SUM(E$2:E7)</f>
        <v>2</v>
      </c>
      <c r="L7" s="22">
        <f ca="1">SUM(F$2:F7)</f>
        <v>0</v>
      </c>
      <c r="M7" s="22">
        <f ca="1">SUM(G$2:G7)</f>
        <v>2</v>
      </c>
      <c r="N7" s="22">
        <f ca="1">SUM(I2:I7)</f>
        <v>8</v>
      </c>
      <c r="O7" s="22">
        <f>SUM(J2:J7)</f>
        <v>1</v>
      </c>
      <c r="P7" s="22"/>
      <c r="Q7" s="15"/>
      <c r="R7" s="14"/>
    </row>
    <row r="8" spans="1:18">
      <c r="A8" s="22">
        <v>1</v>
      </c>
      <c r="B8" s="22">
        <v>7</v>
      </c>
      <c r="C8" s="22" t="s">
        <v>1517</v>
      </c>
      <c r="D8" s="22" t="s">
        <v>70</v>
      </c>
      <c r="E8" s="22">
        <v>2</v>
      </c>
      <c r="F8" s="22">
        <f ca="1">COUNTIFS(Flow!H:H,10,Flow!I:I,2019,Flow!C:C,"BPD",Flow!F:F,0)</f>
        <v>0</v>
      </c>
      <c r="G8" s="22">
        <f ca="1">COUNTIFS(Flow!H:H,10,Flow!I:I,2019,Flow!C:C,"BPD",Flow!F:F,1,Flow!G:G,1)</f>
        <v>2</v>
      </c>
      <c r="H8" s="22">
        <f ca="1">COUNTIFS(Flow!C:C, "BPD", Flow!G:G, 0, Flow!H:H, 10,Flow!I:I, 2019, Flow!F:F, 1)</f>
        <v>4</v>
      </c>
      <c r="I8" s="22">
        <f ca="1">COUNTIFS(Flow!C:C, "BPD", Flow!F:F, 1, Flow!H:H, 10)</f>
        <v>6</v>
      </c>
      <c r="J8" s="22">
        <f>COUNTIFS(Flow!C:C, "BPD", Flow!D:D, "Y", Flow!H:H, 10, Flow!I:I,2019)</f>
        <v>0</v>
      </c>
      <c r="K8" s="22">
        <f>SUM(E$2:E8)</f>
        <v>4</v>
      </c>
      <c r="L8" s="22">
        <f ca="1">SUM(F$2:F8)</f>
        <v>0</v>
      </c>
      <c r="M8" s="22">
        <f ca="1">SUM(G$2:G8)</f>
        <v>4</v>
      </c>
      <c r="N8" s="22">
        <f ca="1">SUM(I2:I8)</f>
        <v>14</v>
      </c>
      <c r="O8" s="22">
        <f>SUM(J2:J8)</f>
        <v>1</v>
      </c>
      <c r="P8" s="22"/>
      <c r="Q8" s="7"/>
      <c r="R8" s="14"/>
    </row>
    <row r="9" spans="1:18">
      <c r="A9" s="22">
        <v>1</v>
      </c>
      <c r="B9" s="22">
        <v>8</v>
      </c>
      <c r="C9" s="22" t="s">
        <v>1518</v>
      </c>
      <c r="D9" s="22" t="s">
        <v>70</v>
      </c>
      <c r="E9" s="22">
        <v>2</v>
      </c>
      <c r="F9" s="22">
        <f ca="1">COUNTIFS(Flow!H:H,11,Flow!I:I,2019,Flow!C:C,"BPD",Flow!F:F,0)</f>
        <v>1</v>
      </c>
      <c r="G9" s="22">
        <f ca="1">COUNTIFS(Flow!H:H,11,Flow!I:I,2019,Flow!C:C,"BPD",Flow!F:F,1,Flow!G:G,1)</f>
        <v>0</v>
      </c>
      <c r="H9" s="22">
        <f ca="1">COUNTIFS(Flow!C:C, "BPD", Flow!G:G, 0, Flow!H:H, 11,Flow!I:I, 2019, Flow!F:F, 1)</f>
        <v>0</v>
      </c>
      <c r="I9" s="22">
        <f ca="1">COUNTIFS(Flow!C:C, "BPD", Flow!F:F, 1, Flow!H:H,11)</f>
        <v>0</v>
      </c>
      <c r="J9" s="22">
        <f>COUNTIFS(Flow!C:C, "BPD", Flow!D:D, "Y", Flow!H:H, 11, Flow!I:I,2019)</f>
        <v>0</v>
      </c>
      <c r="K9" s="22">
        <f>SUM(E$2:E9)</f>
        <v>6</v>
      </c>
      <c r="L9" s="22">
        <f ca="1">SUM(F$2:F9)</f>
        <v>1</v>
      </c>
      <c r="M9" s="22">
        <f ca="1">SUM(G$2:G9)</f>
        <v>4</v>
      </c>
      <c r="N9" s="37">
        <f ca="1">SUM(I2:I9)</f>
        <v>14</v>
      </c>
      <c r="O9" s="37">
        <f>SUM(J2:J9)</f>
        <v>1</v>
      </c>
      <c r="P9" s="22"/>
      <c r="Q9" s="7"/>
      <c r="R9" s="14"/>
    </row>
    <row r="10" spans="1:18">
      <c r="A10" s="22">
        <v>1</v>
      </c>
      <c r="B10" s="22">
        <v>9</v>
      </c>
      <c r="C10" s="22" t="s">
        <v>1519</v>
      </c>
      <c r="D10" s="22" t="s">
        <v>70</v>
      </c>
      <c r="E10" s="22">
        <v>1</v>
      </c>
      <c r="F10" s="22">
        <f>COUNTIFS(Flow!H:H,1,Flow!I:I,2019,Flow!C:C,"BPD",Flow!F:F,0)</f>
        <v>0</v>
      </c>
      <c r="G10" s="22">
        <f>COUNTIFS(Flow!H:H,12,Flow!I:I,2019,Flow!C:C,"BPD",Flow!F:F,1,Flow!G:G,1)</f>
        <v>0</v>
      </c>
      <c r="H10" s="22">
        <f ca="1">COUNTIFS(Flow!C:C, "BPD", Flow!G:G, 0, Flow!H:H, 12,Flow!I:I, 2019, Flow!F:F, 1)</f>
        <v>0</v>
      </c>
      <c r="I10" s="22">
        <f ca="1">COUNTIFS(Flow!C:C, "BPD", Flow!F:F, 1, Flow!H:H, 12)</f>
        <v>0</v>
      </c>
      <c r="J10" s="22">
        <f>COUNTIFS(Flow!C:C, "BPD", Flow!D:D, "Y", Flow!H:H, 12, Flow!I:I,2019)</f>
        <v>0</v>
      </c>
      <c r="K10" s="22">
        <f>SUM(E$2:E10)</f>
        <v>7</v>
      </c>
      <c r="L10" s="22">
        <f ca="1">SUM(F$2:F10)</f>
        <v>1</v>
      </c>
      <c r="M10" s="22">
        <f ca="1">SUM(G$2:G10)</f>
        <v>4</v>
      </c>
      <c r="N10" s="22">
        <f ca="1">SUM(I2:I10)</f>
        <v>14</v>
      </c>
      <c r="O10" s="22">
        <f>SUM(J2:J10)</f>
        <v>1</v>
      </c>
      <c r="P10" s="22"/>
      <c r="Q10" s="7"/>
      <c r="R10" s="14"/>
    </row>
    <row r="11" spans="1:18">
      <c r="A11" s="22">
        <v>1</v>
      </c>
      <c r="B11" s="22">
        <v>10</v>
      </c>
      <c r="C11" s="22" t="s">
        <v>1520</v>
      </c>
      <c r="D11" s="22" t="s">
        <v>70</v>
      </c>
      <c r="E11" s="22">
        <v>2</v>
      </c>
      <c r="F11" s="22">
        <f>COUNTIFS(Flow!H:H,2,Flow!I:I,2019,Flow!C:C,"BPD",Flow!F:F,0)</f>
        <v>0</v>
      </c>
      <c r="G11" s="22">
        <f>COUNTIFS(Flow!H:H,1,Flow!I:I,2020,Flow!C:C,"BPD",Flow!F:F,1,Flow!G:G,1)</f>
        <v>0</v>
      </c>
      <c r="H11" s="22">
        <f ca="1">COUNTIFS(Flow!C:C, "BPD", Flow!G:G, 0, Flow!H:H, 1,Flow!I:I, 2019, Flow!F:F, 1)</f>
        <v>0</v>
      </c>
      <c r="I11" s="22">
        <f ca="1">COUNTIFS(Flow!C:C, "BPD", Flow!F:F, 1, Flow!H:H, 1)</f>
        <v>0</v>
      </c>
      <c r="J11" s="22">
        <f>COUNTIFS(Flow!C:C, "BPD", Flow!D:D, "Y", Flow!H:H, 1, Flow!I:I,2019)</f>
        <v>0</v>
      </c>
      <c r="K11" s="22">
        <f>SUM(E$2:E11)</f>
        <v>9</v>
      </c>
      <c r="L11" s="22">
        <f ca="1">SUM(F$2:F11)</f>
        <v>1</v>
      </c>
      <c r="M11" s="22">
        <f ca="1">SUM(G$2:G11)</f>
        <v>4</v>
      </c>
      <c r="N11" s="22">
        <f ca="1">SUM(I1:I11)</f>
        <v>14</v>
      </c>
      <c r="O11" s="22">
        <f>SUM(J1:J11)</f>
        <v>1</v>
      </c>
      <c r="P11" s="22"/>
      <c r="Q11" s="7"/>
      <c r="R11" s="14"/>
    </row>
    <row r="12" spans="1:18">
      <c r="A12" s="22">
        <v>1</v>
      </c>
      <c r="B12" s="22">
        <v>11</v>
      </c>
      <c r="C12" s="22" t="s">
        <v>1521</v>
      </c>
      <c r="D12" s="22" t="s">
        <v>70</v>
      </c>
      <c r="E12" s="22">
        <v>2</v>
      </c>
      <c r="F12" s="22">
        <f>COUNTIFS(Flow!H:H,3,Flow!I:I,2019,Flow!C:C,"BPD",Flow!F:F,0)</f>
        <v>0</v>
      </c>
      <c r="G12" s="22">
        <f>COUNTIFS(Flow!H:H,2,Flow!I:I,2020,Flow!C:C,"BPD",Flow!F:F,1,Flow!G:G,1)</f>
        <v>0</v>
      </c>
      <c r="H12" s="22">
        <f ca="1">COUNTIFS(Flow!C:C, "BPD", Flow!G:G, 0, Flow!H:H, 2,Flow!I:I, 2019, Flow!F:F, 1)</f>
        <v>0</v>
      </c>
      <c r="I12" s="22">
        <f ca="1">COUNTIFS(Flow!C:C, "BPD", Flow!F:F, 1, Flow!H:H, 2)</f>
        <v>0</v>
      </c>
      <c r="J12" s="22">
        <f>COUNTIFS(Flow!C:C, "BPD", Flow!D:D, "Y", Flow!H:H, 2, Flow!I:I,2019)</f>
        <v>0</v>
      </c>
      <c r="K12" s="22">
        <f>SUM(E$2:E12)</f>
        <v>11</v>
      </c>
      <c r="L12" s="22">
        <f ca="1">SUM(F$2:F12)</f>
        <v>1</v>
      </c>
      <c r="M12" s="22">
        <f ca="1">SUM(G$2:G12)</f>
        <v>4</v>
      </c>
      <c r="N12" s="22">
        <f ca="1">SUM(I2:I12)</f>
        <v>14</v>
      </c>
      <c r="O12" s="22">
        <f>SUM(J2:J12)</f>
        <v>1</v>
      </c>
      <c r="P12" s="22"/>
      <c r="Q12" s="7"/>
      <c r="R12" s="14"/>
    </row>
    <row r="13" spans="1:18">
      <c r="A13" s="22">
        <v>1</v>
      </c>
      <c r="B13" s="22">
        <v>12</v>
      </c>
      <c r="C13" s="22" t="s">
        <v>1522</v>
      </c>
      <c r="D13" s="22" t="s">
        <v>70</v>
      </c>
      <c r="E13" s="22">
        <v>2</v>
      </c>
      <c r="F13" s="22">
        <f>COUNTIFS(Flow!H:H,4,Flow!I:I,2019,Flow!C:C,"BPD",Flow!F:F,0)</f>
        <v>0</v>
      </c>
      <c r="G13" s="22">
        <f>COUNTIFS(Flow!H:H,3,Flow!I:I,2020,Flow!C:C,"BPD",Flow!F:F,1,Flow!G:G,1)</f>
        <v>0</v>
      </c>
      <c r="H13" s="22">
        <f ca="1">COUNTIFS(Flow!C:C, "BPD", Flow!G:G, 0, Flow!H:H, 3,Flow!I:I, 2019, Flow!F:F, 1)</f>
        <v>0</v>
      </c>
      <c r="I13" s="22">
        <f ca="1">COUNTIFS(Flow!C:C, "BPD", Flow!F:F, 1, Flow!H:H, 3)</f>
        <v>0</v>
      </c>
      <c r="J13" s="22">
        <f>COUNTIFS(Flow!C:C, "BPD", Flow!D:D, "Y", Flow!H:H, 3, Flow!I:I,2019)</f>
        <v>0</v>
      </c>
      <c r="K13" s="22">
        <f>SUM(E$2:E13)</f>
        <v>13</v>
      </c>
      <c r="L13" s="22">
        <f ca="1">SUM(F$2:F13)</f>
        <v>1</v>
      </c>
      <c r="M13" s="22">
        <f ca="1">SUM(G$2:G13)</f>
        <v>4</v>
      </c>
      <c r="N13" s="22">
        <f ca="1">SUM(I2:I13)</f>
        <v>14</v>
      </c>
      <c r="O13" s="22">
        <f>SUM(J2:J13)</f>
        <v>1</v>
      </c>
      <c r="P13" s="22"/>
      <c r="Q13" s="15"/>
      <c r="R13" s="14"/>
    </row>
    <row r="14" spans="1:18">
      <c r="A14" s="22">
        <v>1</v>
      </c>
      <c r="B14" s="22">
        <v>1</v>
      </c>
      <c r="C14" s="22" t="s">
        <v>1511</v>
      </c>
      <c r="D14" s="22" t="s">
        <v>131</v>
      </c>
      <c r="E14" s="22">
        <v>0</v>
      </c>
      <c r="F14" s="22">
        <f>COUNTIFS(Flow!H:H,4,Flow!I:I,2019,Flow!C:C,"HC",Flow!F:F,0)</f>
        <v>0</v>
      </c>
      <c r="G14" s="22">
        <f>COUNTIFS(Flow!H:H,4,Flow!I:I,2019,Flow!C:C,"HC",Flow!F:F,1,Flow!G:G,1)</f>
        <v>0</v>
      </c>
      <c r="H14" s="22">
        <f ca="1">COUNTIFS(Flow!C:C, "HC", Flow!G:G, 0, Flow!H:H, 4,Flow!I:I, 2019, Flow!F:F, 1)</f>
        <v>0</v>
      </c>
      <c r="I14" s="22">
        <f ca="1">COUNTIFS(Flow!C:C, "HC", Flow!F:F, 1, Flow!H:H, 4)</f>
        <v>0</v>
      </c>
      <c r="J14" s="22">
        <f>COUNTIFS(Flow!C:C, "HC", Flow!D:D, "Y", Flow!H:H, 4, Flow!I:I,2019)</f>
        <v>0</v>
      </c>
      <c r="K14" s="22">
        <f>SUM(E$14:E14)</f>
        <v>0</v>
      </c>
      <c r="L14" s="22">
        <f>SUM(F$14:F14)</f>
        <v>0</v>
      </c>
      <c r="M14" s="22">
        <f>SUM(G$14:G14)</f>
        <v>0</v>
      </c>
      <c r="N14" s="22">
        <f ca="1">SUM(I14)</f>
        <v>0</v>
      </c>
      <c r="O14" s="22">
        <f>SUM(J14)</f>
        <v>0</v>
      </c>
      <c r="P14" s="22"/>
      <c r="Q14" s="7"/>
      <c r="R14" s="14"/>
    </row>
    <row r="15" spans="1:18">
      <c r="A15" s="22">
        <v>1</v>
      </c>
      <c r="B15" s="22">
        <v>2</v>
      </c>
      <c r="C15" s="22" t="s">
        <v>1512</v>
      </c>
      <c r="D15" s="22" t="s">
        <v>131</v>
      </c>
      <c r="E15" s="22">
        <v>0</v>
      </c>
      <c r="F15" s="22">
        <f>COUNTIFS(Flow!H:H,5,Flow!I:I,2019,Flow!C:C,"HC",Flow!F:F,0)</f>
        <v>0</v>
      </c>
      <c r="G15" s="22">
        <f>COUNTIFS(Flow!H:H,5,Flow!I:I,2019,Flow!C:C,"HC",Flow!F:F,1,Flow!G:G,1)</f>
        <v>0</v>
      </c>
      <c r="H15" s="22">
        <f ca="1">COUNTIFS(Flow!C:C, "HC", Flow!G:G, 0, Flow!H:H, 5,Flow!I:I, 2019, Flow!F:F, 1)</f>
        <v>0</v>
      </c>
      <c r="I15" s="22">
        <f ca="1">COUNTIFS(Flow!C:C, "HC", Flow!F:F, 1, Flow!H:H, 5)</f>
        <v>0</v>
      </c>
      <c r="J15" s="22">
        <f>COUNTIFS(Flow!C:C, "HC", Flow!D:D, "Y", Flow!H:H, 5, Flow!I:I,2019)</f>
        <v>0</v>
      </c>
      <c r="K15" s="22">
        <f>SUM(E$14:E15)</f>
        <v>0</v>
      </c>
      <c r="L15" s="22">
        <f>SUM(F$14:F15)</f>
        <v>0</v>
      </c>
      <c r="M15" s="22">
        <f>SUM(G$14:G15)</f>
        <v>0</v>
      </c>
      <c r="N15" s="22">
        <f ca="1">SUM(I14:I15)</f>
        <v>0</v>
      </c>
      <c r="O15" s="22">
        <f>SUM(J14:J15)</f>
        <v>0</v>
      </c>
      <c r="P15" s="22"/>
      <c r="Q15" s="7"/>
      <c r="R15" s="14"/>
    </row>
    <row r="16" spans="1:18">
      <c r="A16" s="22">
        <v>1</v>
      </c>
      <c r="B16" s="22">
        <v>3</v>
      </c>
      <c r="C16" s="22" t="s">
        <v>1513</v>
      </c>
      <c r="D16" s="22" t="s">
        <v>131</v>
      </c>
      <c r="E16" s="22">
        <v>0</v>
      </c>
      <c r="F16" s="22">
        <f>COUNTIFS(Flow!H:H,6,Flow!I:I,2019,Flow!C:C,"HC",Flow!F:F,0)</f>
        <v>0</v>
      </c>
      <c r="G16" s="22">
        <f>COUNTIFS(Flow!H:H,6,Flow!I:I,2019,Flow!C:C,"HC",Flow!F:F,1,Flow!G:G,1)</f>
        <v>0</v>
      </c>
      <c r="H16" s="22">
        <f ca="1">COUNTIFS(Flow!C:C, "HC", Flow!G:G, 0, Flow!H:H, 6,Flow!I:I, 2019, Flow!F:F, 1)</f>
        <v>0</v>
      </c>
      <c r="I16" s="22">
        <f ca="1">COUNTIFS(Flow!C:C, "HC", Flow!F:F, 1, Flow!H:H, 6)</f>
        <v>0</v>
      </c>
      <c r="J16" s="22">
        <f>COUNTIFS(Flow!C:C, "HC", Flow!D:D, "Y", Flow!H:H, 6, Flow!I:I,2019)</f>
        <v>0</v>
      </c>
      <c r="K16" s="22">
        <f>SUM(E$14:E16)</f>
        <v>0</v>
      </c>
      <c r="L16" s="22">
        <f>SUM(F$14:F16)</f>
        <v>0</v>
      </c>
      <c r="M16" s="22">
        <f>SUM(G$14:G16)</f>
        <v>0</v>
      </c>
      <c r="N16" s="22">
        <f ca="1">SUM(I14:I16)</f>
        <v>0</v>
      </c>
      <c r="O16" s="22">
        <f>SUM(J14:J16)</f>
        <v>0</v>
      </c>
      <c r="P16" s="22"/>
      <c r="Q16" s="7"/>
      <c r="R16" s="14"/>
    </row>
    <row r="17" spans="1:18">
      <c r="A17" s="22">
        <v>1</v>
      </c>
      <c r="B17" s="22">
        <v>4</v>
      </c>
      <c r="C17" s="22" t="s">
        <v>1514</v>
      </c>
      <c r="D17" s="22" t="s">
        <v>131</v>
      </c>
      <c r="E17" s="22">
        <v>0</v>
      </c>
      <c r="F17" s="22">
        <f>COUNTIFS(Flow!H:H,7,Flow!I:I,2019,Flow!C:C,"HC",Flow!F:F,0)</f>
        <v>0</v>
      </c>
      <c r="G17" s="22">
        <f>COUNTIFS(Flow!H:H,7,Flow!I:I,2019,Flow!C:C,"HC",Flow!F:F,1,Flow!G:G,1)</f>
        <v>0</v>
      </c>
      <c r="H17" s="22">
        <f ca="1">COUNTIFS(Flow!C:C, "HC", Flow!G:G, 0, Flow!H:H, 7,Flow!I:I, 2019, Flow!F:F, 1)</f>
        <v>0</v>
      </c>
      <c r="I17" s="22">
        <f ca="1">COUNTIFS(Flow!C:C, "HC", Flow!F:F, 1, Flow!H:H, 7)</f>
        <v>0</v>
      </c>
      <c r="J17" s="22">
        <f>COUNTIFS(Flow!C:C, "HC", Flow!D:D, "Y", Flow!H:H, 7, Flow!I:I,2019)</f>
        <v>0</v>
      </c>
      <c r="K17" s="22">
        <f>SUM(E$14:E17)</f>
        <v>0</v>
      </c>
      <c r="L17" s="22">
        <f>SUM(F$14:F17)</f>
        <v>0</v>
      </c>
      <c r="M17" s="22">
        <f>SUM(G$14:G17)</f>
        <v>0</v>
      </c>
      <c r="N17" s="22">
        <f ca="1">SUM(I14:I17)</f>
        <v>0</v>
      </c>
      <c r="O17" s="22">
        <f>SUM(J14:J17)</f>
        <v>0</v>
      </c>
      <c r="P17" s="22"/>
      <c r="Q17" s="7"/>
      <c r="R17" s="14"/>
    </row>
    <row r="18" spans="1:18">
      <c r="A18" s="22">
        <v>1</v>
      </c>
      <c r="B18" s="22">
        <v>5</v>
      </c>
      <c r="C18" s="22" t="s">
        <v>1515</v>
      </c>
      <c r="D18" s="22" t="s">
        <v>131</v>
      </c>
      <c r="E18" s="22">
        <v>1</v>
      </c>
      <c r="F18" s="22">
        <f>COUNTIFS(Flow!H:H,8,Flow!I:I,2019,Flow!C:C,"HC",Flow!F:F,0)</f>
        <v>0</v>
      </c>
      <c r="G18" s="22">
        <f>COUNTIFS(Flow!H:H,8,Flow!I:I,2019,Flow!C:C,"HC",Flow!F:F,1,Flow!G:G,1)</f>
        <v>0</v>
      </c>
      <c r="H18" s="22">
        <f ca="1">COUNTIFS(Flow!C:C, "HC", Flow!G:G, 0, Flow!H:H, 8,Flow!I:I, 2019, Flow!F:F, 1)</f>
        <v>0</v>
      </c>
      <c r="I18" s="22">
        <f ca="1">COUNTIFS(Flow!C:C, "HC", Flow!F:F, 1, Flow!H:H, 8)</f>
        <v>0</v>
      </c>
      <c r="J18" s="22">
        <f>COUNTIFS(Flow!C:C, "HC", Flow!D:D, "Y", Flow!H:H, 8, Flow!I:I,2019)</f>
        <v>0</v>
      </c>
      <c r="K18" s="22">
        <f>SUM(E$14:E18)</f>
        <v>1</v>
      </c>
      <c r="L18" s="22">
        <f>SUM(F$14:F18)</f>
        <v>0</v>
      </c>
      <c r="M18" s="22">
        <f>SUM(G$14:G18)</f>
        <v>0</v>
      </c>
      <c r="N18" s="22">
        <f ca="1">SUM(I14:I18)</f>
        <v>0</v>
      </c>
      <c r="O18" s="22">
        <f>SUM(J14:J18)</f>
        <v>0</v>
      </c>
      <c r="P18" s="22"/>
      <c r="Q18" s="15"/>
      <c r="R18" s="14"/>
    </row>
    <row r="19" spans="1:18">
      <c r="A19" s="22">
        <v>1</v>
      </c>
      <c r="B19" s="22">
        <v>6</v>
      </c>
      <c r="C19" s="22" t="s">
        <v>1516</v>
      </c>
      <c r="D19" s="22" t="s">
        <v>131</v>
      </c>
      <c r="E19" s="22">
        <v>1</v>
      </c>
      <c r="F19" s="22">
        <f ca="1">COUNTIFS(Flow!H:H,9,Flow!I:I,2019,Flow!C:C,"HC",Flow!F:F,0)</f>
        <v>0</v>
      </c>
      <c r="G19" s="22">
        <f ca="1">COUNTIFS(Flow!H:H,9,Flow!I:I,2019,Flow!C:C,"HC",Flow!F:F,1,Flow!G:G,1)</f>
        <v>1</v>
      </c>
      <c r="H19" s="22">
        <f ca="1">COUNTIFS(Flow!C:C, "HC", Flow!G:G, 0, Flow!H:H, 9,Flow!I:I, 2019, Flow!F:F, 1)</f>
        <v>0</v>
      </c>
      <c r="I19" s="22">
        <f ca="1">COUNTIFS(Flow!C:C, "HC", Flow!F:F, 1, Flow!H:H, 9)</f>
        <v>1</v>
      </c>
      <c r="J19" s="22">
        <f>COUNTIFS(Flow!C:C, "HC", Flow!D:D, "Y", Flow!H:H, 9, Flow!I:I,2019)</f>
        <v>0</v>
      </c>
      <c r="K19" s="22">
        <f>SUM(E$14:E19)</f>
        <v>2</v>
      </c>
      <c r="L19" s="22">
        <f ca="1">SUM(F$14:F19)</f>
        <v>0</v>
      </c>
      <c r="M19" s="22">
        <f ca="1">SUM(G$14:G19)</f>
        <v>1</v>
      </c>
      <c r="N19" s="22">
        <f ca="1">SUM(I14:I19)</f>
        <v>1</v>
      </c>
      <c r="O19" s="22">
        <f>SUM(J14:J19)</f>
        <v>0</v>
      </c>
      <c r="P19" s="22"/>
      <c r="Q19" s="7"/>
      <c r="R19" s="14"/>
    </row>
    <row r="20" spans="1:18">
      <c r="A20" s="22">
        <v>1</v>
      </c>
      <c r="B20" s="22">
        <v>7</v>
      </c>
      <c r="C20" s="22" t="s">
        <v>1517</v>
      </c>
      <c r="D20" s="22" t="s">
        <v>131</v>
      </c>
      <c r="E20" s="22">
        <v>2</v>
      </c>
      <c r="F20" s="22">
        <f ca="1">COUNTIFS(Flow!H:H,10,Flow!I:I,2019,Flow!C:C,"HC",Flow!F:F,0)</f>
        <v>0</v>
      </c>
      <c r="G20" s="22">
        <f ca="1">COUNTIFS(Flow!H:H,10,Flow!I:I,2019,Flow!C:C,"HC",Flow!F:F,1,Flow!G:G,1)</f>
        <v>1</v>
      </c>
      <c r="H20" s="22">
        <f ca="1">COUNTIFS(Flow!C:C, "HC", Flow!G:G, 0, Flow!H:H, 10,Flow!I:I, 2019, Flow!F:F, 1)</f>
        <v>1</v>
      </c>
      <c r="I20" s="22">
        <f ca="1">COUNTIFS(Flow!C:C, "HC", Flow!F:F, 1, Flow!H:H, 10)</f>
        <v>2</v>
      </c>
      <c r="J20" s="22">
        <f>COUNTIFS(Flow!C:C, "HC", Flow!D:D, "Y", Flow!H:H, 10, Flow!I:I,2019)</f>
        <v>0</v>
      </c>
      <c r="K20" s="22">
        <f>SUM(E$14:E20)</f>
        <v>4</v>
      </c>
      <c r="L20" s="22">
        <f ca="1">SUM(F$14:F20)</f>
        <v>0</v>
      </c>
      <c r="M20" s="22">
        <f ca="1">SUM(G$14:G20)</f>
        <v>2</v>
      </c>
      <c r="N20" s="22">
        <f ca="1">SUM(I14:I20)</f>
        <v>3</v>
      </c>
      <c r="O20" s="22">
        <f>SUM(J14:J20)</f>
        <v>0</v>
      </c>
      <c r="P20" s="22"/>
      <c r="Q20" s="7"/>
      <c r="R20" s="14"/>
    </row>
    <row r="21" spans="1:18">
      <c r="A21" s="22">
        <v>1</v>
      </c>
      <c r="B21" s="22">
        <v>8</v>
      </c>
      <c r="C21" s="22" t="s">
        <v>1518</v>
      </c>
      <c r="D21" s="22" t="s">
        <v>131</v>
      </c>
      <c r="E21" s="22">
        <v>2</v>
      </c>
      <c r="F21" s="22">
        <f ca="1">COUNTIFS(Flow!H:H,11,Flow!I:I,2019,Flow!C:C,"HC",Flow!F:F,0)</f>
        <v>1</v>
      </c>
      <c r="G21" s="22">
        <f ca="1">COUNTIFS(Flow!H:H,11,Flow!I:I,2019,Flow!C:C,"HC",Flow!F:F,1,Flow!G:G,1)</f>
        <v>0</v>
      </c>
      <c r="H21" s="22">
        <f ca="1">COUNTIFS(Flow!C:C, "HC", Flow!G:G, 0, Flow!H:H, 11,Flow!I:I, 2019, Flow!F:F, 1)</f>
        <v>0</v>
      </c>
      <c r="I21" s="22">
        <f ca="1">COUNTIFS(Flow!C:C, "HC", Flow!F:F, 1, Flow!H:H,11)</f>
        <v>0</v>
      </c>
      <c r="J21" s="22">
        <f>COUNTIFS(Flow!C:C, "HC", Flow!D:D, "Y", Flow!H:H, 11, Flow!I:I,2019)</f>
        <v>0</v>
      </c>
      <c r="K21" s="22">
        <f>SUM(E$14:E21)</f>
        <v>6</v>
      </c>
      <c r="L21" s="22">
        <f ca="1">SUM(F$14:F21)</f>
        <v>1</v>
      </c>
      <c r="M21" s="22">
        <f ca="1">SUM(G$14:G21)</f>
        <v>2</v>
      </c>
      <c r="N21" s="22">
        <f ca="1">SUM(I14:I21)</f>
        <v>3</v>
      </c>
      <c r="O21" s="22">
        <f>SUM(J14:J21)</f>
        <v>0</v>
      </c>
      <c r="P21" s="22"/>
      <c r="Q21" s="7"/>
      <c r="R21" s="14"/>
    </row>
    <row r="22" spans="1:18">
      <c r="A22" s="22">
        <v>1</v>
      </c>
      <c r="B22" s="22">
        <v>9</v>
      </c>
      <c r="C22" s="22" t="s">
        <v>1519</v>
      </c>
      <c r="D22" s="22" t="s">
        <v>131</v>
      </c>
      <c r="E22" s="22">
        <v>1</v>
      </c>
      <c r="F22" s="22">
        <f>COUNTIFS(Flow!H:H,12,Flow!I:I,2019,Flow!C:C,"HC",Flow!F:F,0)</f>
        <v>0</v>
      </c>
      <c r="G22" s="22">
        <f>COUNTIFS(Flow!H:H,12,Flow!I:I,2019,Flow!C:C,"HC",Flow!F:F,1,Flow!G:G,1)</f>
        <v>0</v>
      </c>
      <c r="H22" s="22">
        <f ca="1">COUNTIFS(Flow!C:C, "HC", Flow!G:G, 0, Flow!H:H, 12,Flow!I:I, 2019, Flow!F:F, 1)</f>
        <v>0</v>
      </c>
      <c r="I22" s="22">
        <f ca="1">COUNTIFS(Flow!C:C, "HC", Flow!F:F, 1, Flow!H:H, 12)</f>
        <v>0</v>
      </c>
      <c r="J22" s="22">
        <f>COUNTIFS(Flow!C:C, "HC", Flow!D:D, "Y", Flow!H:H, 12, Flow!I:I,2019)</f>
        <v>0</v>
      </c>
      <c r="K22" s="22">
        <f>SUM(E$14:E22)</f>
        <v>7</v>
      </c>
      <c r="L22" s="22">
        <f ca="1">SUM(F$14:F22)</f>
        <v>1</v>
      </c>
      <c r="M22" s="22">
        <f ca="1">SUM(G$14:G22)</f>
        <v>2</v>
      </c>
      <c r="N22" s="22">
        <f ca="1">SUM(I14:I22)</f>
        <v>3</v>
      </c>
      <c r="O22" s="22">
        <f>SUM(J14:J22)</f>
        <v>0</v>
      </c>
      <c r="P22" s="22"/>
      <c r="Q22" s="7"/>
      <c r="R22" s="14"/>
    </row>
    <row r="23" spans="1:18">
      <c r="A23" s="22">
        <v>1</v>
      </c>
      <c r="B23" s="22">
        <v>10</v>
      </c>
      <c r="C23" s="22" t="s">
        <v>1520</v>
      </c>
      <c r="D23" s="22" t="s">
        <v>131</v>
      </c>
      <c r="E23" s="22">
        <v>2</v>
      </c>
      <c r="F23" s="22">
        <f>COUNTIFS(Flow!H:H,1,Flow!I:I,2020,Flow!C:C,"HC",Flow!F:F,0)</f>
        <v>0</v>
      </c>
      <c r="G23" s="22">
        <f>COUNTIFS(Flow!H:H,1,Flow!I:I,2020,Flow!C:C,"HC",Flow!F:F,1,Flow!G:G,1)</f>
        <v>0</v>
      </c>
      <c r="H23" s="22">
        <f ca="1">COUNTIFS(Flow!C:C, "HC", Flow!G:G, 0, Flow!H:H, 1,Flow!I:I, 2019, Flow!F:F, 1)</f>
        <v>0</v>
      </c>
      <c r="I23" s="22">
        <f ca="1">COUNTIFS(Flow!C:C, "HC", Flow!F:F, 1, Flow!H:H, 1)</f>
        <v>0</v>
      </c>
      <c r="J23" s="22">
        <f>COUNTIFS(Flow!C:C, "HC", Flow!D:D, "Y", Flow!H:H, 1, Flow!I:I,2019)</f>
        <v>0</v>
      </c>
      <c r="K23" s="22">
        <f>SUM(E$14:E23)</f>
        <v>9</v>
      </c>
      <c r="L23" s="22">
        <f ca="1">SUM(F$14:F23)</f>
        <v>1</v>
      </c>
      <c r="M23" s="22">
        <f ca="1">SUM(G$14:G23)</f>
        <v>2</v>
      </c>
      <c r="N23" s="22">
        <f ca="1">SUM(I14:I23)</f>
        <v>3</v>
      </c>
      <c r="O23" s="22">
        <f>SUM(J14:J23)</f>
        <v>0</v>
      </c>
      <c r="P23" s="22"/>
      <c r="Q23" s="7"/>
      <c r="R23" s="14"/>
    </row>
    <row r="24" spans="1:18">
      <c r="A24" s="22">
        <v>1</v>
      </c>
      <c r="B24" s="22">
        <v>11</v>
      </c>
      <c r="C24" s="22" t="s">
        <v>1521</v>
      </c>
      <c r="D24" s="22" t="s">
        <v>131</v>
      </c>
      <c r="E24" s="22">
        <v>2</v>
      </c>
      <c r="F24" s="22">
        <f>COUNTIFS(Flow!H:H,2,Flow!I:I,2020,Flow!C:C,"HC",Flow!F:F,0)</f>
        <v>0</v>
      </c>
      <c r="G24" s="22">
        <f>COUNTIFS(Flow!H:H,2,Flow!I:I,2020,Flow!C:C,"HC",Flow!F:F,1,Flow!G:G,1)</f>
        <v>0</v>
      </c>
      <c r="H24" s="22">
        <f ca="1">COUNTIFS(Flow!C:C, "HC", Flow!G:G, 0, Flow!H:H, 2,Flow!I:I, 2019, Flow!F:F, 1)</f>
        <v>0</v>
      </c>
      <c r="I24" s="22">
        <f ca="1">COUNTIFS(Flow!C:C, "HC", Flow!F:F, 1, Flow!H:H, 2)</f>
        <v>0</v>
      </c>
      <c r="J24" s="22">
        <f>COUNTIFS(Flow!C:C, "HC", Flow!D:D, "Y", Flow!H:H, 2, Flow!I:I,2019)</f>
        <v>0</v>
      </c>
      <c r="K24" s="22">
        <f>SUM(E$14:E24)</f>
        <v>11</v>
      </c>
      <c r="L24" s="22">
        <f ca="1">SUM(F$14:F24)</f>
        <v>1</v>
      </c>
      <c r="M24" s="22">
        <f ca="1">SUM(G$14:G24)</f>
        <v>2</v>
      </c>
      <c r="N24" s="22">
        <f ca="1">SUM(I14:I24)</f>
        <v>3</v>
      </c>
      <c r="O24" s="22">
        <f>SUM(J14:J24)</f>
        <v>0</v>
      </c>
      <c r="P24" s="22"/>
      <c r="Q24" s="15"/>
      <c r="R24" s="14"/>
    </row>
    <row r="25" spans="1:18">
      <c r="A25" s="22">
        <v>1</v>
      </c>
      <c r="B25" s="22">
        <v>12</v>
      </c>
      <c r="C25" s="22" t="s">
        <v>1522</v>
      </c>
      <c r="D25" s="22" t="s">
        <v>131</v>
      </c>
      <c r="E25" s="22">
        <v>2</v>
      </c>
      <c r="F25" s="22">
        <f>COUNTIFS(Flow!H:H,3,Flow!I:I,2020,Flow!C:C,"HC",Flow!F:F,0)</f>
        <v>0</v>
      </c>
      <c r="G25" s="22">
        <f>COUNTIFS(Flow!H:H,3,Flow!I:I,2020,Flow!C:C,"HC",Flow!F:F,1,Flow!G:G,1)</f>
        <v>0</v>
      </c>
      <c r="H25" s="22">
        <f ca="1">COUNTIFS(Flow!C:C, "HC", Flow!G:G, 0, Flow!H:H, 3,Flow!I:I, 2019, Flow!F:F, 1)</f>
        <v>0</v>
      </c>
      <c r="I25" s="22">
        <f ca="1">COUNTIFS(Flow!C:C, "HC", Flow!F:F, 1, Flow!H:H, 3)</f>
        <v>0</v>
      </c>
      <c r="J25" s="22">
        <f>COUNTIFS(Flow!C:C, "HC", Flow!D:D, "Y", Flow!H:H, 3, Flow!I:I,2019)</f>
        <v>0</v>
      </c>
      <c r="K25" s="22">
        <f>SUM(E$14:E25)</f>
        <v>13</v>
      </c>
      <c r="L25" s="22">
        <f ca="1">SUM(F$14:F25)</f>
        <v>1</v>
      </c>
      <c r="M25" s="22">
        <f ca="1">SUM(G$14:G25)</f>
        <v>2</v>
      </c>
      <c r="N25" s="22">
        <f ca="1">SUM(I14:I25)</f>
        <v>3</v>
      </c>
      <c r="O25" s="22">
        <f>SUM(J14:J25)</f>
        <v>0</v>
      </c>
      <c r="P25" s="22"/>
      <c r="Q25" s="13"/>
      <c r="R25" s="12"/>
    </row>
    <row r="26" spans="1:18">
      <c r="A26" s="22">
        <v>1</v>
      </c>
      <c r="B26" s="22">
        <v>1</v>
      </c>
      <c r="C26" s="22" t="s">
        <v>1511</v>
      </c>
      <c r="D26" s="22" t="s">
        <v>38</v>
      </c>
      <c r="E26" s="22">
        <v>0</v>
      </c>
      <c r="F26" s="22">
        <f>COUNTIFS(Flow!H:H,4,Flow!I:I,2019,Flow!C:C,"SAD",Flow!F:F,0)</f>
        <v>0</v>
      </c>
      <c r="G26" s="22">
        <f>COUNTIFS(Flow!H:H,4,Flow!I:I,2019,Flow!C:C,"SAD",Flow!F:F,1,Flow!G:G,1)</f>
        <v>0</v>
      </c>
      <c r="H26" s="22">
        <f ca="1">COUNTIFS(Flow!C:C, "SAD", Flow!G:G, 0, Flow!H:H, 4,Flow!I:I, 2019, Flow!F:F, 1)</f>
        <v>0</v>
      </c>
      <c r="I26" s="22">
        <f ca="1">COUNTIFS(Flow!C:C, "SAD", Flow!F:F, 1, Flow!H:H, 4)</f>
        <v>0</v>
      </c>
      <c r="J26" s="22">
        <f>COUNTIFS(Flow!C:C, "SAD", Flow!D:D, "Y", Flow!H:H, 4, Flow!I:I,2019)</f>
        <v>0</v>
      </c>
      <c r="K26" s="22">
        <f>SUM(E$26:E26)</f>
        <v>0</v>
      </c>
      <c r="L26" s="22">
        <f>SUM(F$26:F26)</f>
        <v>0</v>
      </c>
      <c r="M26" s="22">
        <f>SUM(G$26:G26)</f>
        <v>0</v>
      </c>
      <c r="N26" s="22">
        <f ca="1">SUM(I26)</f>
        <v>0</v>
      </c>
      <c r="O26" s="22">
        <f>SUM(J26)</f>
        <v>0</v>
      </c>
      <c r="P26" s="22"/>
      <c r="Q26" s="22"/>
      <c r="R26" s="22"/>
    </row>
    <row r="27" spans="1:18">
      <c r="A27" s="22">
        <v>1</v>
      </c>
      <c r="B27" s="22">
        <v>2</v>
      </c>
      <c r="C27" s="22" t="s">
        <v>1512</v>
      </c>
      <c r="D27" s="22" t="s">
        <v>38</v>
      </c>
      <c r="E27" s="22">
        <v>0</v>
      </c>
      <c r="F27" s="22">
        <f>COUNTIFS(Flow!H:H,5,Flow!I:I,2019,Flow!C:C,"SAD",Flow!F:F,0)</f>
        <v>0</v>
      </c>
      <c r="G27" s="22">
        <f>COUNTIFS(Flow!H:H,5,Flow!I:I,2019,Flow!C:C,"SAD",Flow!F:F,1,Flow!G:G,1)</f>
        <v>0</v>
      </c>
      <c r="H27" s="22">
        <f ca="1">COUNTIFS(Flow!C:C, "SAD", Flow!G:G, 0, Flow!H:H, 5,Flow!I:I, 2019, Flow!F:F, 1)</f>
        <v>0</v>
      </c>
      <c r="I27" s="22">
        <f ca="1">COUNTIFS(Flow!C:C, "SAD", Flow!F:F, 1, Flow!H:H, 5)</f>
        <v>0</v>
      </c>
      <c r="J27" s="22">
        <f>COUNTIFS(Flow!C:C, "SAD", Flow!D:D, "Y", Flow!H:H, 5, Flow!I:I,2019)</f>
        <v>0</v>
      </c>
      <c r="K27" s="22">
        <f>SUM(E$26:E27)</f>
        <v>0</v>
      </c>
      <c r="L27" s="22">
        <f>SUM(F$26:F27)</f>
        <v>0</v>
      </c>
      <c r="M27" s="22">
        <f>SUM(G$26:G27)</f>
        <v>0</v>
      </c>
      <c r="N27" s="22">
        <f ca="1">SUM(I26:I27)</f>
        <v>0</v>
      </c>
      <c r="O27" s="22">
        <f>SUM(J26:J27)</f>
        <v>0</v>
      </c>
      <c r="P27" s="22"/>
      <c r="Q27" s="22"/>
      <c r="R27" s="22"/>
    </row>
    <row r="28" spans="1:18">
      <c r="A28" s="22">
        <v>1</v>
      </c>
      <c r="B28" s="22">
        <v>3</v>
      </c>
      <c r="C28" s="22" t="s">
        <v>1513</v>
      </c>
      <c r="D28" s="22" t="s">
        <v>38</v>
      </c>
      <c r="E28" s="22">
        <v>0</v>
      </c>
      <c r="F28" s="22">
        <f>COUNTIFS(Flow!H:H,6,Flow!I:I,2019,Flow!C:C,"SAD",Flow!F:F,0)</f>
        <v>0</v>
      </c>
      <c r="G28" s="22">
        <f>COUNTIFS(Flow!H:H,6,Flow!I:I,2019,Flow!C:C,"SAD",Flow!F:F,1,Flow!G:G,1)</f>
        <v>0</v>
      </c>
      <c r="H28" s="22">
        <f ca="1">COUNTIFS(Flow!C:C, "SAD", Flow!G:G, 0, Flow!H:H, 6,Flow!I:I, 2019, Flow!F:F, 1)</f>
        <v>0</v>
      </c>
      <c r="I28" s="22">
        <f ca="1">COUNTIFS(Flow!C:C, "SAD", Flow!F:F, 1, Flow!H:H, 6)</f>
        <v>0</v>
      </c>
      <c r="J28" s="22">
        <f>COUNTIFS(Flow!C:C, "SAD", Flow!D:D, "Y", Flow!H:H, 6, Flow!I:I,2019)</f>
        <v>0</v>
      </c>
      <c r="K28" s="22">
        <f>SUM(E$26:E28)</f>
        <v>0</v>
      </c>
      <c r="L28" s="22">
        <f>SUM(F$26:F28)</f>
        <v>0</v>
      </c>
      <c r="M28" s="22">
        <f>SUM(G$26:G28)</f>
        <v>0</v>
      </c>
      <c r="N28" s="22">
        <f ca="1">SUM(I26:I28)</f>
        <v>0</v>
      </c>
      <c r="O28" s="22">
        <f>SUM(J26:J28)</f>
        <v>0</v>
      </c>
      <c r="P28" s="22"/>
      <c r="Q28" s="22"/>
      <c r="R28" s="22"/>
    </row>
    <row r="29" spans="1:18">
      <c r="A29" s="22">
        <v>1</v>
      </c>
      <c r="B29" s="22">
        <v>4</v>
      </c>
      <c r="C29" s="22" t="s">
        <v>1514</v>
      </c>
      <c r="D29" s="22" t="s">
        <v>38</v>
      </c>
      <c r="E29" s="22">
        <v>0</v>
      </c>
      <c r="F29" s="22">
        <f>COUNTIFS(Flow!H:H,7,Flow!I:I,2019,Flow!C:C,"SAD",Flow!F:F,0)</f>
        <v>0</v>
      </c>
      <c r="G29" s="22">
        <f>COUNTIFS(Flow!H:H,7,Flow!I:I,2019,Flow!C:C,"SAD",Flow!F:F,1,Flow!G:G,1)</f>
        <v>0</v>
      </c>
      <c r="H29" s="22">
        <f ca="1">COUNTIFS(Flow!C:C, "SAD", Flow!G:G, 0, Flow!H:H, 7,Flow!I:I, 2019, Flow!F:F, 1)</f>
        <v>0</v>
      </c>
      <c r="I29" s="22">
        <f ca="1">COUNTIFS(Flow!C:C, "SAD", Flow!F:F, 1, Flow!H:H, 7)</f>
        <v>0</v>
      </c>
      <c r="J29" s="22">
        <f>COUNTIFS(Flow!C:C, "SAD", Flow!D:D, "Y", Flow!H:H, 7, Flow!I:I,2019)</f>
        <v>0</v>
      </c>
      <c r="K29" s="22">
        <f>SUM(E$26:E29)</f>
        <v>0</v>
      </c>
      <c r="L29" s="22">
        <f>SUM(F$26:F29)</f>
        <v>0</v>
      </c>
      <c r="M29" s="22">
        <f>SUM(G$26:G29)</f>
        <v>0</v>
      </c>
      <c r="N29" s="22">
        <f ca="1">SUM(I26:I29)</f>
        <v>0</v>
      </c>
      <c r="O29" s="22">
        <f>SUM(J26:J29)</f>
        <v>0</v>
      </c>
      <c r="P29" s="22"/>
      <c r="Q29" s="22"/>
      <c r="R29" s="22"/>
    </row>
    <row r="30" spans="1:18">
      <c r="A30" s="22">
        <v>1</v>
      </c>
      <c r="B30" s="22">
        <v>5</v>
      </c>
      <c r="C30" s="22" t="s">
        <v>1515</v>
      </c>
      <c r="D30" s="22" t="s">
        <v>38</v>
      </c>
      <c r="E30" s="22">
        <v>1</v>
      </c>
      <c r="F30" s="22">
        <f ca="1">COUNTIFS(Flow!H:H,8,Flow!I:I,2019,Flow!C:C,"SAD",Flow!F:F,0)</f>
        <v>0</v>
      </c>
      <c r="G30" s="22">
        <f ca="1">COUNTIFS(Flow!H:H,8,Flow!I:I,2019,Flow!C:C,"SAD",Flow!F:F,1,Flow!G:G,1)</f>
        <v>2</v>
      </c>
      <c r="H30" s="22">
        <f ca="1">COUNTIFS(Flow!C:C, "SAD", Flow!G:G, 0, Flow!H:H, 8,Flow!I:I, 2019, Flow!F:F, 1)</f>
        <v>8</v>
      </c>
      <c r="I30" s="22">
        <f ca="1">COUNTIFS(Flow!C:C, "SAD", Flow!F:F, 1, Flow!H:H, 8)</f>
        <v>10</v>
      </c>
      <c r="J30" s="22">
        <f>COUNTIFS(Flow!C:C, "SAD", Flow!D:D, "Y", Flow!H:H, 8, Flow!I:I,2019)</f>
        <v>1</v>
      </c>
      <c r="K30" s="22">
        <f>SUM(E$26:E30)</f>
        <v>1</v>
      </c>
      <c r="L30" s="22">
        <f ca="1">SUM(F$26:F30)</f>
        <v>0</v>
      </c>
      <c r="M30" s="22">
        <f ca="1">SUM(G$26:G30)</f>
        <v>2</v>
      </c>
      <c r="N30" s="22">
        <f ca="1">SUM(I26:I30)</f>
        <v>10</v>
      </c>
      <c r="O30" s="22">
        <f>SUM(J26:J30)</f>
        <v>1</v>
      </c>
      <c r="P30" s="22"/>
      <c r="Q30" s="22"/>
      <c r="R30" s="22"/>
    </row>
    <row r="31" spans="1:18">
      <c r="A31" s="22">
        <v>1</v>
      </c>
      <c r="B31" s="22">
        <v>6</v>
      </c>
      <c r="C31" s="22" t="s">
        <v>1516</v>
      </c>
      <c r="D31" s="22" t="s">
        <v>38</v>
      </c>
      <c r="E31" s="22">
        <v>1</v>
      </c>
      <c r="F31" s="22">
        <f ca="1">COUNTIFS(Flow!H:H,9,Flow!I:I,2019,Flow!C:C,"SAD",Flow!F:F,0)</f>
        <v>0</v>
      </c>
      <c r="G31" s="22">
        <f ca="1">COUNTIFS(Flow!H:H,9,Flow!I:I,2019,Flow!C:C,"SAD",Flow!F:F,1,Flow!G:G,1)</f>
        <v>1</v>
      </c>
      <c r="H31" s="22">
        <f ca="1">COUNTIFS(Flow!C:C, "SAD", Flow!G:G, 0, Flow!H:H, 9,Flow!I:I, 2019, Flow!F:F, 1)</f>
        <v>3</v>
      </c>
      <c r="I31" s="22">
        <f ca="1">COUNTIFS(Flow!C:C, "SAD", Flow!F:F, 1, Flow!H:H, 9)</f>
        <v>4</v>
      </c>
      <c r="J31" s="22">
        <f>COUNTIFS(Flow!C:C, "SAD", Flow!D:D, "Y", Flow!H:H, 9, Flow!I:I,2019)</f>
        <v>0</v>
      </c>
      <c r="K31" s="22">
        <f>SUM(E$26:E31)</f>
        <v>2</v>
      </c>
      <c r="L31" s="22">
        <f ca="1">SUM(F$26:F31)</f>
        <v>0</v>
      </c>
      <c r="M31" s="22">
        <f ca="1">SUM(G$26:G31)</f>
        <v>3</v>
      </c>
      <c r="N31" s="22">
        <f ca="1">SUM(I26:I31)</f>
        <v>14</v>
      </c>
      <c r="O31" s="22">
        <f>SUM(J26:J31)</f>
        <v>1</v>
      </c>
      <c r="P31" s="22"/>
      <c r="Q31" s="22"/>
      <c r="R31" s="22"/>
    </row>
    <row r="32" spans="1:18">
      <c r="A32" s="22">
        <v>1</v>
      </c>
      <c r="B32" s="22">
        <v>7</v>
      </c>
      <c r="C32" s="22" t="s">
        <v>1517</v>
      </c>
      <c r="D32" s="22" t="s">
        <v>38</v>
      </c>
      <c r="E32" s="22">
        <v>2</v>
      </c>
      <c r="F32" s="22">
        <f ca="1">COUNTIFS(Flow!H:H,10,Flow!I:I,2019,Flow!C:C,"SAD",Flow!F:F,0)</f>
        <v>0</v>
      </c>
      <c r="G32" s="22">
        <f ca="1">COUNTIFS(Flow!H:H,10,Flow!I:I,2019,Flow!C:C,"SAD",Flow!F:F,1,Flow!G:G,1)</f>
        <v>4</v>
      </c>
      <c r="H32" s="22">
        <f ca="1">COUNTIFS(Flow!C:C, "SAD", Flow!G:G, 0, Flow!H:H, 10,Flow!I:I, 2019, Flow!F:F, 1)</f>
        <v>3</v>
      </c>
      <c r="I32" s="22">
        <f ca="1">COUNTIFS(Flow!C:C, "SAD", Flow!F:F, 1, Flow!H:H, 10)</f>
        <v>7</v>
      </c>
      <c r="J32" s="22">
        <f>COUNTIFS(Flow!C:C, "SAD", Flow!D:D, "Y", Flow!H:H, 10, Flow!I:I,2019)</f>
        <v>0</v>
      </c>
      <c r="K32" s="22">
        <f>SUM(E$26:E32)</f>
        <v>4</v>
      </c>
      <c r="L32" s="22">
        <f ca="1">SUM(F$26:F32)</f>
        <v>0</v>
      </c>
      <c r="M32" s="22">
        <f ca="1">SUM(G$26:G32)</f>
        <v>7</v>
      </c>
      <c r="N32" s="22">
        <f ca="1">SUM(I26:I32)</f>
        <v>21</v>
      </c>
      <c r="O32" s="22">
        <f>SUM(J26:J32)</f>
        <v>1</v>
      </c>
      <c r="P32" s="22"/>
      <c r="Q32" s="22"/>
      <c r="R32" s="22"/>
    </row>
    <row r="33" spans="1:15">
      <c r="A33" s="22">
        <v>1</v>
      </c>
      <c r="B33" s="22">
        <v>8</v>
      </c>
      <c r="C33" s="22" t="s">
        <v>1518</v>
      </c>
      <c r="D33" s="22" t="s">
        <v>38</v>
      </c>
      <c r="E33" s="22">
        <v>2</v>
      </c>
      <c r="F33" s="22">
        <f ca="1">COUNTIFS(Flow!H:H,11,Flow!I:I,2019,Flow!C:C,"SAD",Flow!F:F,0)</f>
        <v>1</v>
      </c>
      <c r="G33" s="22">
        <f ca="1">COUNTIFS(Flow!H:H,11,Flow!I:I,2019,Flow!C:C,"SAD",Flow!F:F,1,Flow!G:G,1)</f>
        <v>0</v>
      </c>
      <c r="H33" s="22">
        <f ca="1">COUNTIFS(Flow!C:C, "SAD", Flow!G:G, 0, Flow!H:H, 11,Flow!I:I, 2019, Flow!F:F, 1)</f>
        <v>0</v>
      </c>
      <c r="I33" s="22">
        <f ca="1">COUNTIFS(Flow!C:C, "SAD", Flow!F:F, 1, Flow!H:H,11)</f>
        <v>0</v>
      </c>
      <c r="J33" s="22">
        <f>COUNTIFS(Flow!C:C, "SAD", Flow!D:D, "Y", Flow!H:H, 11, Flow!I:I,2019)</f>
        <v>0</v>
      </c>
      <c r="K33" s="22">
        <f>SUM(E$26:E33)</f>
        <v>6</v>
      </c>
      <c r="L33" s="22">
        <f ca="1">SUM(F$26:F33)</f>
        <v>1</v>
      </c>
      <c r="M33" s="22">
        <f ca="1">SUM(G$26:G33)</f>
        <v>7</v>
      </c>
      <c r="N33" s="22">
        <f ca="1">SUM(I26:I33)</f>
        <v>21</v>
      </c>
      <c r="O33" s="22">
        <f>SUM(J26:J33)</f>
        <v>1</v>
      </c>
    </row>
    <row r="34" spans="1:15">
      <c r="A34" s="22">
        <v>1</v>
      </c>
      <c r="B34" s="22">
        <v>9</v>
      </c>
      <c r="C34" s="22" t="s">
        <v>1519</v>
      </c>
      <c r="D34" s="22" t="s">
        <v>38</v>
      </c>
      <c r="E34" s="22">
        <v>1</v>
      </c>
      <c r="F34" s="22">
        <f>COUNTIFS(Flow!H:H,12,Flow!I:I,2019,Flow!C:C,"SAD",Flow!F:F,0)</f>
        <v>0</v>
      </c>
      <c r="G34" s="22">
        <f>COUNTIFS(Flow!H:H,12,Flow!I:I,2019,Flow!C:C,"SAD",Flow!F:F,1,Flow!G:G,1)</f>
        <v>0</v>
      </c>
      <c r="H34" s="22">
        <f ca="1">COUNTIFS(Flow!C:C, "SAD", Flow!G:G, 0, Flow!H:H, 12,Flow!I:I, 2019, Flow!F:F, 1)</f>
        <v>0</v>
      </c>
      <c r="I34" s="22">
        <f ca="1">COUNTIFS(Flow!C:C, "SAD", Flow!F:F, 1, Flow!H:H, 12)</f>
        <v>0</v>
      </c>
      <c r="J34" s="22">
        <f>COUNTIFS(Flow!C:C, "SAD", Flow!D:D, "Y", Flow!H:H, 12, Flow!I:I,2019)</f>
        <v>0</v>
      </c>
      <c r="K34" s="22">
        <f>SUM(E$26:E34)</f>
        <v>7</v>
      </c>
      <c r="L34" s="22">
        <f ca="1">SUM(F$26:F34)</f>
        <v>1</v>
      </c>
      <c r="M34" s="22">
        <f ca="1">SUM(G$26:G34)</f>
        <v>7</v>
      </c>
      <c r="N34" s="22">
        <f ca="1">SUM(I26:I34)</f>
        <v>21</v>
      </c>
      <c r="O34" s="22">
        <f>SUM(J26:J34)</f>
        <v>1</v>
      </c>
    </row>
    <row r="35" spans="1:15">
      <c r="A35" s="22">
        <v>1</v>
      </c>
      <c r="B35" s="22">
        <v>10</v>
      </c>
      <c r="C35" s="22" t="s">
        <v>1520</v>
      </c>
      <c r="D35" s="22" t="s">
        <v>38</v>
      </c>
      <c r="E35" s="22">
        <v>2</v>
      </c>
      <c r="F35" s="22">
        <f>COUNTIFS(Flow!H:H,1,Flow!I:I,2020,Flow!C:C,"SAD",Flow!F:F,0)</f>
        <v>0</v>
      </c>
      <c r="G35" s="22">
        <f>COUNTIFS(Flow!H:H,1,Flow!I:I,2020,Flow!C:C,"SAD",Flow!F:F,1,Flow!G:G,1)</f>
        <v>0</v>
      </c>
      <c r="H35" s="22">
        <f ca="1">COUNTIFS(Flow!C:C, "SAD", Flow!G:G, 0, Flow!H:H, 1,Flow!I:I, 2019, Flow!F:F, 1)</f>
        <v>0</v>
      </c>
      <c r="I35" s="22">
        <f ca="1">COUNTIFS(Flow!C:C, "SAD", Flow!F:F, 1, Flow!H:H, 1)</f>
        <v>0</v>
      </c>
      <c r="J35" s="22">
        <f>COUNTIFS(Flow!C:C, "SAD", Flow!D:D, "Y", Flow!H:H, 1, Flow!I:I,2019)</f>
        <v>0</v>
      </c>
      <c r="K35" s="22">
        <f>SUM(E$26:E35)</f>
        <v>9</v>
      </c>
      <c r="L35" s="22">
        <f ca="1">SUM(F$26:F35)</f>
        <v>1</v>
      </c>
      <c r="M35" s="22">
        <f ca="1">SUM(G$26:G35)</f>
        <v>7</v>
      </c>
      <c r="N35" s="22">
        <f ca="1">SUM(I26:I35)</f>
        <v>21</v>
      </c>
      <c r="O35" s="22">
        <f>SUM(J26:J35)</f>
        <v>1</v>
      </c>
    </row>
    <row r="36" spans="1:15">
      <c r="A36" s="22">
        <v>1</v>
      </c>
      <c r="B36" s="22">
        <v>11</v>
      </c>
      <c r="C36" s="22" t="s">
        <v>1521</v>
      </c>
      <c r="D36" s="22" t="s">
        <v>38</v>
      </c>
      <c r="E36" s="22">
        <v>2</v>
      </c>
      <c r="F36" s="22">
        <f>COUNTIFS(Flow!H:H,2,Flow!I:I,2020,Flow!C:C,"SAD",Flow!F:F,0)</f>
        <v>0</v>
      </c>
      <c r="G36" s="22">
        <f>COUNTIFS(Flow!H:H,2,Flow!I:I,2020,Flow!C:C,"SAD",Flow!F:F,1,Flow!G:G,1)</f>
        <v>0</v>
      </c>
      <c r="H36" s="22">
        <f ca="1">COUNTIFS(Flow!C:C, "SAD", Flow!G:G, 0, Flow!H:H, 2,Flow!I:I, 2019, Flow!F:F, 1)</f>
        <v>0</v>
      </c>
      <c r="I36" s="22">
        <f ca="1">COUNTIFS(Flow!C:C, "SAD", Flow!F:F, 1, Flow!H:H, 2)</f>
        <v>0</v>
      </c>
      <c r="J36" s="22">
        <f>COUNTIFS(Flow!C:C, "SAD", Flow!D:D, "Y", Flow!H:H, 2, Flow!I:I,2019)</f>
        <v>0</v>
      </c>
      <c r="K36" s="22">
        <f>SUM(E$26:E36)</f>
        <v>11</v>
      </c>
      <c r="L36" s="22">
        <f ca="1">SUM(F$26:F36)</f>
        <v>1</v>
      </c>
      <c r="M36" s="22">
        <f ca="1">SUM(G$26:G36)</f>
        <v>7</v>
      </c>
      <c r="N36" s="22">
        <f ca="1">SUM(I26:I36)</f>
        <v>21</v>
      </c>
      <c r="O36" s="22">
        <f>SUM(J26:J36)</f>
        <v>1</v>
      </c>
    </row>
    <row r="37" spans="1:15">
      <c r="A37" s="22">
        <v>1</v>
      </c>
      <c r="B37" s="22">
        <v>12</v>
      </c>
      <c r="C37" s="22" t="s">
        <v>1522</v>
      </c>
      <c r="D37" s="22" t="s">
        <v>38</v>
      </c>
      <c r="E37" s="22">
        <v>2</v>
      </c>
      <c r="F37" s="22">
        <f>COUNTIFS(Flow!H:H,3,Flow!I:I,2020,Flow!C:C,"SAD",Flow!F:F,0)</f>
        <v>0</v>
      </c>
      <c r="G37" s="22">
        <f>COUNTIFS(Flow!H:H,3,Flow!I:I,2020,Flow!C:C,"SAD",Flow!F:F,1,Flow!G:G,1)</f>
        <v>0</v>
      </c>
      <c r="H37" s="22">
        <f ca="1">COUNTIFS(Flow!C:C, "SAD", Flow!G:G, 0, Flow!H:H, 3,Flow!I:I, 2019, Flow!F:F, 1)</f>
        <v>0</v>
      </c>
      <c r="I37" s="22">
        <f ca="1">COUNTIFS(Flow!C:C, "SAD", Flow!F:F, 1, Flow!H:H, 3)</f>
        <v>0</v>
      </c>
      <c r="J37" s="22">
        <f>COUNTIFS(Flow!C:C, "SAD", Flow!D:D, "Y", Flow!H:H, 3, Flow!I:I,2019)</f>
        <v>0</v>
      </c>
      <c r="K37" s="22">
        <f>SUM(E$26:E37)</f>
        <v>13</v>
      </c>
      <c r="L37" s="22">
        <f ca="1">SUM(F$26:F37)</f>
        <v>1</v>
      </c>
      <c r="M37" s="22">
        <f ca="1">SUM(G$26:G37)</f>
        <v>7</v>
      </c>
      <c r="N37" s="22">
        <f ca="1">SUM(I26:I37)</f>
        <v>21</v>
      </c>
      <c r="O37" s="22">
        <f>SUM(J26:J37)</f>
        <v>1</v>
      </c>
    </row>
    <row r="38" spans="1:15">
      <c r="A38" s="22"/>
      <c r="B38" s="10"/>
      <c r="D38" s="10"/>
      <c r="E38" s="22"/>
      <c r="F38" s="22"/>
      <c r="G38" s="22"/>
      <c r="I38" s="22"/>
      <c r="K38" s="22"/>
      <c r="L38" s="22"/>
      <c r="M38" s="22"/>
      <c r="N38" s="22"/>
      <c r="O38" s="22"/>
    </row>
    <row r="39" spans="1:15">
      <c r="A39" s="22"/>
      <c r="B39" s="6"/>
      <c r="D39" s="22"/>
      <c r="E39" s="22"/>
      <c r="F39" s="22"/>
      <c r="G39" s="22"/>
      <c r="I39" s="22"/>
      <c r="K39" s="22"/>
      <c r="L39" s="22"/>
      <c r="M39" s="22"/>
      <c r="N39" s="22"/>
      <c r="O39" s="22"/>
    </row>
    <row r="40" spans="1:15">
      <c r="A40" s="22"/>
      <c r="B40" s="6"/>
      <c r="D40" s="22"/>
      <c r="E40" s="22"/>
      <c r="F40" s="22"/>
      <c r="G40" s="22"/>
      <c r="I40" s="22"/>
      <c r="K40" s="22"/>
      <c r="L40" s="22"/>
      <c r="M40" s="22"/>
      <c r="N40" s="22"/>
      <c r="O40" s="22"/>
    </row>
    <row r="41" spans="1:15">
      <c r="A41" s="22"/>
      <c r="B41" s="6"/>
      <c r="D41" s="22"/>
      <c r="E41" s="22"/>
      <c r="F41" s="22"/>
      <c r="G41" s="22"/>
      <c r="I41" s="22"/>
      <c r="K41" s="22"/>
      <c r="L41" s="22"/>
      <c r="M41" s="22"/>
      <c r="N41" s="22"/>
      <c r="O41" s="22"/>
    </row>
    <row r="42" spans="1:15">
      <c r="A42" s="22"/>
      <c r="B42" s="6"/>
      <c r="D42" s="22"/>
      <c r="E42" s="22"/>
      <c r="F42" s="22"/>
      <c r="G42" s="22"/>
      <c r="I42" s="22"/>
      <c r="K42" s="22"/>
      <c r="L42" s="22"/>
      <c r="M42" s="22"/>
      <c r="N42" s="22"/>
      <c r="O42" s="22"/>
    </row>
    <row r="43" spans="1:15">
      <c r="A43" s="22"/>
      <c r="B43" s="6"/>
      <c r="D43" s="22"/>
      <c r="E43" s="22"/>
      <c r="F43" s="22"/>
      <c r="G43" s="22"/>
      <c r="I43" s="22"/>
      <c r="K43" s="22"/>
      <c r="L43" s="22"/>
      <c r="M43" s="22"/>
      <c r="N43" s="22"/>
      <c r="O43" s="22"/>
    </row>
    <row r="44" spans="1:15">
      <c r="A44" s="22"/>
      <c r="B44" s="6"/>
      <c r="D44" s="22"/>
      <c r="E44" s="22"/>
      <c r="F44" s="22"/>
      <c r="G44" s="22"/>
      <c r="I44" s="22"/>
      <c r="K44" s="22"/>
      <c r="L44" s="22"/>
      <c r="M44" s="22"/>
      <c r="N44" s="22"/>
      <c r="O44" s="22"/>
    </row>
    <row r="45" spans="1:15">
      <c r="A45" s="22"/>
      <c r="B45" s="6"/>
      <c r="D45" s="22"/>
      <c r="E45" s="22"/>
      <c r="F45" s="22"/>
      <c r="G45" s="22"/>
      <c r="I45" s="22"/>
      <c r="K45" s="22"/>
      <c r="L45" s="22"/>
      <c r="M45" s="22"/>
      <c r="N45" s="22"/>
      <c r="O45" s="22"/>
    </row>
    <row r="46" spans="1:15">
      <c r="A46" s="22"/>
      <c r="B46" s="6"/>
      <c r="D46" s="22"/>
      <c r="E46" s="22"/>
      <c r="F46" s="22"/>
      <c r="G46" s="22"/>
      <c r="I46" s="22"/>
      <c r="K46" s="22"/>
      <c r="L46" s="22"/>
      <c r="M46" s="22"/>
      <c r="N46" s="22"/>
      <c r="O46" s="22"/>
    </row>
    <row r="47" spans="1:15">
      <c r="A47" s="22"/>
      <c r="B47" s="6"/>
      <c r="D47" s="22"/>
      <c r="E47" s="22"/>
      <c r="F47" s="22"/>
      <c r="G47" s="22"/>
      <c r="I47" s="22"/>
      <c r="K47" s="22"/>
      <c r="L47" s="22"/>
      <c r="M47" s="22"/>
      <c r="N47" s="22"/>
      <c r="O47" s="22"/>
    </row>
    <row r="48" spans="1:15">
      <c r="A48" s="22"/>
      <c r="B48" s="6"/>
      <c r="D48" s="22"/>
      <c r="E48" s="22"/>
      <c r="F48" s="22"/>
      <c r="G48" s="22"/>
      <c r="I48" s="22"/>
      <c r="K48" s="22"/>
      <c r="L48" s="22"/>
      <c r="M48" s="22"/>
      <c r="N48" s="22"/>
      <c r="O48" s="22"/>
    </row>
    <row r="49" spans="2:4">
      <c r="B49" s="6"/>
      <c r="D49" s="22"/>
    </row>
    <row r="50" spans="2:4">
      <c r="B50" s="6"/>
      <c r="D50" s="22"/>
    </row>
    <row r="51" spans="2:4">
      <c r="B51" s="11"/>
      <c r="D51" s="11"/>
    </row>
    <row r="52" spans="2:4">
      <c r="B52" s="6"/>
      <c r="D52" s="6"/>
    </row>
    <row r="53" spans="2:4">
      <c r="B53" s="6"/>
      <c r="D53" s="6"/>
    </row>
    <row r="54" spans="2:4">
      <c r="B54" s="6"/>
      <c r="D54" s="6"/>
    </row>
    <row r="55" spans="2:4">
      <c r="B55" s="6"/>
      <c r="D55" s="6"/>
    </row>
    <row r="56" spans="2:4">
      <c r="B56" s="6"/>
      <c r="D56" s="6"/>
    </row>
    <row r="57" spans="2:4">
      <c r="B57" s="6"/>
      <c r="D57" s="6"/>
    </row>
    <row r="58" spans="2:4">
      <c r="B58" s="6"/>
      <c r="D58" s="6"/>
    </row>
    <row r="59" spans="2:4">
      <c r="B59" s="6"/>
      <c r="D59" s="6"/>
    </row>
    <row r="60" spans="2:4">
      <c r="B60" s="6"/>
      <c r="D60" s="6"/>
    </row>
    <row r="61" spans="2:4">
      <c r="B61" s="6"/>
      <c r="D61" s="6"/>
    </row>
    <row r="62" spans="2:4">
      <c r="B62" s="6"/>
      <c r="D62" s="6"/>
    </row>
    <row r="63" spans="2:4">
      <c r="B63" s="6"/>
      <c r="D63" s="6"/>
    </row>
    <row r="64" spans="2:4">
      <c r="B64" s="11"/>
      <c r="D64" s="11"/>
    </row>
    <row r="65" spans="2:4">
      <c r="B65" s="6"/>
      <c r="D65" s="6"/>
    </row>
    <row r="66" spans="2:4">
      <c r="B66" s="6"/>
      <c r="D66" s="6"/>
    </row>
    <row r="67" spans="2:4">
      <c r="B67" s="6"/>
      <c r="D67" s="6"/>
    </row>
    <row r="68" spans="2:4">
      <c r="B68" s="6"/>
      <c r="D68" s="6"/>
    </row>
    <row r="69" spans="2:4">
      <c r="B69" s="6"/>
      <c r="D69" s="6"/>
    </row>
    <row r="70" spans="2:4">
      <c r="B70" s="6"/>
      <c r="D70" s="6"/>
    </row>
    <row r="71" spans="2:4">
      <c r="B71" s="6"/>
      <c r="D71" s="6"/>
    </row>
    <row r="72" spans="2:4">
      <c r="B72" s="6"/>
      <c r="D72" s="6"/>
    </row>
    <row r="73" spans="2:4">
      <c r="B73" s="6"/>
      <c r="D73" s="6"/>
    </row>
    <row r="74" spans="2:4">
      <c r="B74" s="6"/>
      <c r="D74" s="6"/>
    </row>
    <row r="75" spans="2:4">
      <c r="B75" s="6"/>
      <c r="D75" s="6"/>
    </row>
    <row r="76" spans="2:4">
      <c r="B76" s="6"/>
      <c r="D76" s="6"/>
    </row>
    <row r="77" spans="2:4">
      <c r="B77" s="11"/>
      <c r="D77" s="11"/>
    </row>
  </sheetData>
  <pageMargins left="0.7" right="0.7" top="0.75" bottom="0.75" header="0.3" footer="0.3"/>
  <pageSetup orientation="portrait" horizontalDpi="0" verticalDpi="0"/>
  <ignoredErrors>
    <ignoredError sqref="K18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06B4-9F3C-4247-9BF9-D6DE5DE134DE}">
  <dimension ref="A1:B26"/>
  <sheetViews>
    <sheetView workbookViewId="0">
      <selection activeCell="D29" sqref="D29"/>
    </sheetView>
  </sheetViews>
  <sheetFormatPr baseColWidth="10" defaultColWidth="11" defaultRowHeight="16"/>
  <cols>
    <col min="1" max="1" width="12.6640625" style="22" bestFit="1" customWidth="1"/>
    <col min="2" max="2" width="6.83203125" style="22" customWidth="1"/>
  </cols>
  <sheetData>
    <row r="1" spans="1:2">
      <c r="A1" s="17" t="s">
        <v>1523</v>
      </c>
      <c r="B1" s="16"/>
    </row>
    <row r="2" spans="1:2">
      <c r="A2" s="15" t="s">
        <v>1524</v>
      </c>
      <c r="B2" s="14">
        <v>39</v>
      </c>
    </row>
    <row r="3" spans="1:2">
      <c r="A3" s="7" t="s">
        <v>70</v>
      </c>
      <c r="B3" s="14">
        <v>13</v>
      </c>
    </row>
    <row r="4" spans="1:2">
      <c r="A4" s="7" t="s">
        <v>131</v>
      </c>
      <c r="B4" s="14">
        <v>13</v>
      </c>
    </row>
    <row r="5" spans="1:2">
      <c r="A5" s="7" t="s">
        <v>38</v>
      </c>
      <c r="B5" s="14">
        <v>13</v>
      </c>
    </row>
    <row r="6" spans="1:2">
      <c r="A6" s="7"/>
      <c r="B6" s="14"/>
    </row>
    <row r="7" spans="1:2">
      <c r="A7" s="15" t="s">
        <v>1525</v>
      </c>
      <c r="B7" s="14">
        <v>63</v>
      </c>
    </row>
    <row r="8" spans="1:2">
      <c r="A8" s="7" t="s">
        <v>70</v>
      </c>
      <c r="B8" s="14">
        <v>21</v>
      </c>
    </row>
    <row r="9" spans="1:2">
      <c r="A9" s="7" t="s">
        <v>131</v>
      </c>
      <c r="B9" s="14">
        <v>21</v>
      </c>
    </row>
    <row r="10" spans="1:2">
      <c r="A10" s="7" t="s">
        <v>38</v>
      </c>
      <c r="B10" s="14">
        <v>21</v>
      </c>
    </row>
    <row r="11" spans="1:2">
      <c r="A11" s="7" t="s">
        <v>1526</v>
      </c>
      <c r="B11" s="14">
        <v>23</v>
      </c>
    </row>
    <row r="12" spans="1:2">
      <c r="A12" s="7"/>
      <c r="B12" s="14"/>
    </row>
    <row r="13" spans="1:2">
      <c r="A13" s="15" t="s">
        <v>1527</v>
      </c>
      <c r="B13" s="14">
        <v>63</v>
      </c>
    </row>
    <row r="14" spans="1:2">
      <c r="A14" s="7" t="s">
        <v>70</v>
      </c>
      <c r="B14" s="14">
        <v>21</v>
      </c>
    </row>
    <row r="15" spans="1:2">
      <c r="A15" s="7" t="s">
        <v>131</v>
      </c>
      <c r="B15" s="14">
        <v>21</v>
      </c>
    </row>
    <row r="16" spans="1:2">
      <c r="A16" s="7" t="s">
        <v>38</v>
      </c>
      <c r="B16" s="14">
        <v>21</v>
      </c>
    </row>
    <row r="17" spans="1:2">
      <c r="A17" s="7" t="s">
        <v>1526</v>
      </c>
      <c r="B17" s="14">
        <v>40</v>
      </c>
    </row>
    <row r="18" spans="1:2">
      <c r="A18" s="7"/>
      <c r="B18" s="14"/>
    </row>
    <row r="19" spans="1:2">
      <c r="A19" s="15" t="s">
        <v>1528</v>
      </c>
      <c r="B19" s="14">
        <v>57</v>
      </c>
    </row>
    <row r="20" spans="1:2">
      <c r="A20" s="7" t="s">
        <v>70</v>
      </c>
      <c r="B20" s="14">
        <v>19</v>
      </c>
    </row>
    <row r="21" spans="1:2">
      <c r="A21" s="7" t="s">
        <v>131</v>
      </c>
      <c r="B21" s="14">
        <v>19</v>
      </c>
    </row>
    <row r="22" spans="1:2">
      <c r="A22" s="7" t="s">
        <v>38</v>
      </c>
      <c r="B22" s="14">
        <v>19</v>
      </c>
    </row>
    <row r="23" spans="1:2">
      <c r="A23" s="7" t="s">
        <v>1526</v>
      </c>
      <c r="B23" s="14">
        <v>42</v>
      </c>
    </row>
    <row r="24" spans="1:2">
      <c r="A24" s="7"/>
      <c r="B24" s="14"/>
    </row>
    <row r="25" spans="1:2">
      <c r="A25" s="15" t="s">
        <v>1529</v>
      </c>
      <c r="B25" s="14"/>
    </row>
    <row r="26" spans="1:2">
      <c r="A26" s="13" t="s">
        <v>1526</v>
      </c>
      <c r="B26" s="12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D2" sqref="D2"/>
    </sheetView>
  </sheetViews>
  <sheetFormatPr baseColWidth="10" defaultColWidth="8.83203125" defaultRowHeight="16"/>
  <cols>
    <col min="6" max="6" width="15.5" customWidth="1"/>
    <col min="7" max="7" width="18.83203125" customWidth="1"/>
  </cols>
  <sheetData>
    <row r="1" spans="1:10">
      <c r="A1" s="22" t="s">
        <v>696</v>
      </c>
      <c r="B1" s="22" t="s">
        <v>1530</v>
      </c>
      <c r="C1" s="22" t="s">
        <v>5</v>
      </c>
      <c r="D1" s="22" t="s">
        <v>725</v>
      </c>
      <c r="E1" s="22" t="s">
        <v>7</v>
      </c>
      <c r="F1" s="22" t="s">
        <v>11</v>
      </c>
      <c r="G1" s="22" t="s">
        <v>1531</v>
      </c>
      <c r="H1" s="22" t="s">
        <v>1532</v>
      </c>
      <c r="I1" s="22" t="s">
        <v>1533</v>
      </c>
      <c r="J1" s="22" t="s">
        <v>1534</v>
      </c>
    </row>
    <row r="2" spans="1:10">
      <c r="A2" s="22" t="s">
        <v>1535</v>
      </c>
      <c r="B2" s="22" t="s">
        <v>1536</v>
      </c>
      <c r="C2" s="22">
        <v>24</v>
      </c>
      <c r="D2" s="22" t="s">
        <v>37</v>
      </c>
      <c r="E2" s="22" t="s">
        <v>38</v>
      </c>
      <c r="F2" s="22" t="s">
        <v>706</v>
      </c>
      <c r="G2" s="22" t="s">
        <v>1537</v>
      </c>
      <c r="H2" s="23">
        <v>43699.166666666672</v>
      </c>
      <c r="I2" s="22" t="e">
        <v>#N/A</v>
      </c>
      <c r="J2" s="22" t="e">
        <v>#N/A</v>
      </c>
    </row>
    <row r="3" spans="1:10">
      <c r="A3" s="22" t="s">
        <v>1538</v>
      </c>
      <c r="B3" s="22" t="s">
        <v>1539</v>
      </c>
      <c r="C3" s="22">
        <v>19</v>
      </c>
      <c r="D3" s="22" t="s">
        <v>37</v>
      </c>
      <c r="E3" s="22" t="s">
        <v>38</v>
      </c>
      <c r="F3" s="22" t="s">
        <v>706</v>
      </c>
      <c r="G3" s="22" t="s">
        <v>1540</v>
      </c>
      <c r="H3" s="23" t="e">
        <v>#N/A</v>
      </c>
      <c r="I3" s="22" t="e">
        <v>#N/A</v>
      </c>
      <c r="J3" s="22" t="e">
        <v>#N/A</v>
      </c>
    </row>
    <row r="4" spans="1:10">
      <c r="A4" s="22" t="s">
        <v>1541</v>
      </c>
      <c r="B4" s="22" t="s">
        <v>1542</v>
      </c>
      <c r="C4" s="22">
        <v>25</v>
      </c>
      <c r="D4" s="22" t="s">
        <v>37</v>
      </c>
      <c r="E4" s="22" t="s">
        <v>38</v>
      </c>
      <c r="F4" s="22" t="s">
        <v>41</v>
      </c>
      <c r="G4" s="22" t="s">
        <v>1543</v>
      </c>
      <c r="H4" s="23" t="e">
        <v>#N/A</v>
      </c>
      <c r="I4" s="22" t="e">
        <v>#N/A</v>
      </c>
      <c r="J4" s="22" t="e">
        <v>#N/A</v>
      </c>
    </row>
    <row r="5" spans="1:10">
      <c r="A5" s="22" t="s">
        <v>1544</v>
      </c>
      <c r="B5" s="22" t="s">
        <v>1545</v>
      </c>
      <c r="C5" s="22">
        <v>21</v>
      </c>
      <c r="D5" s="22" t="s">
        <v>37</v>
      </c>
      <c r="E5" s="22" t="s">
        <v>38</v>
      </c>
      <c r="F5" s="22" t="s">
        <v>41</v>
      </c>
      <c r="G5" s="22" t="s">
        <v>1546</v>
      </c>
      <c r="H5" s="23" t="e">
        <v>#N/A</v>
      </c>
      <c r="I5" s="22" t="e">
        <v>#N/A</v>
      </c>
      <c r="J5" s="22" t="e">
        <v>#N/A</v>
      </c>
    </row>
    <row r="6" spans="1:10">
      <c r="A6" s="22" t="s">
        <v>1547</v>
      </c>
      <c r="B6" s="22" t="s">
        <v>1548</v>
      </c>
      <c r="C6" s="22">
        <v>19</v>
      </c>
      <c r="D6" s="22" t="s">
        <v>63</v>
      </c>
      <c r="E6" s="22" t="s">
        <v>38</v>
      </c>
      <c r="F6" s="22" t="s">
        <v>711</v>
      </c>
      <c r="G6" s="22" t="s">
        <v>1549</v>
      </c>
      <c r="H6" s="23" t="e">
        <v>#N/A</v>
      </c>
      <c r="I6" s="22" t="e">
        <v>#N/A</v>
      </c>
      <c r="J6" s="22" t="e">
        <v>#N/A</v>
      </c>
    </row>
    <row r="7" spans="1:10">
      <c r="A7" s="22" t="s">
        <v>1550</v>
      </c>
      <c r="B7" s="22" t="s">
        <v>1551</v>
      </c>
      <c r="C7" s="22">
        <v>19</v>
      </c>
      <c r="D7" s="22" t="s">
        <v>63</v>
      </c>
      <c r="E7" s="22" t="s">
        <v>70</v>
      </c>
      <c r="F7" s="22" t="s">
        <v>41</v>
      </c>
      <c r="G7" s="22" t="s">
        <v>1552</v>
      </c>
      <c r="H7" s="23" t="e">
        <v>#N/A</v>
      </c>
      <c r="I7" s="22" t="e">
        <v>#N/A</v>
      </c>
      <c r="J7" s="22" t="e">
        <v>#N/A</v>
      </c>
    </row>
    <row r="8" spans="1:10">
      <c r="A8" s="22" t="s">
        <v>1553</v>
      </c>
      <c r="B8" s="22" t="s">
        <v>1554</v>
      </c>
      <c r="C8" s="22">
        <v>23</v>
      </c>
      <c r="D8" s="22" t="s">
        <v>63</v>
      </c>
      <c r="E8" s="22" t="s">
        <v>38</v>
      </c>
      <c r="F8" s="22" t="s">
        <v>41</v>
      </c>
      <c r="G8" s="22" t="s">
        <v>1555</v>
      </c>
      <c r="H8" s="23" t="e">
        <v>#N/A</v>
      </c>
      <c r="I8" s="22" t="e">
        <v>#N/A</v>
      </c>
      <c r="J8" s="22" t="e">
        <v>#N/A</v>
      </c>
    </row>
    <row r="9" spans="1:10">
      <c r="A9" s="22" t="s">
        <v>1556</v>
      </c>
      <c r="B9" s="22" t="s">
        <v>1557</v>
      </c>
      <c r="C9" s="22">
        <v>22</v>
      </c>
      <c r="D9" s="22" t="s">
        <v>37</v>
      </c>
      <c r="E9" s="22" t="s">
        <v>38</v>
      </c>
      <c r="F9" s="22" t="s">
        <v>711</v>
      </c>
      <c r="G9" s="22" t="s">
        <v>1555</v>
      </c>
      <c r="H9" s="23" t="e">
        <v>#N/A</v>
      </c>
      <c r="I9" s="22" t="e">
        <v>#N/A</v>
      </c>
      <c r="J9" s="22" t="e">
        <v>#N/A</v>
      </c>
    </row>
    <row r="10" spans="1:10">
      <c r="A10" s="22" t="s">
        <v>1558</v>
      </c>
      <c r="B10" s="22" t="s">
        <v>1559</v>
      </c>
      <c r="C10" s="22">
        <v>25</v>
      </c>
      <c r="D10" s="22" t="s">
        <v>37</v>
      </c>
      <c r="E10" s="22" t="s">
        <v>38</v>
      </c>
      <c r="F10" s="22" t="s">
        <v>711</v>
      </c>
      <c r="G10" s="22" t="s">
        <v>1560</v>
      </c>
      <c r="H10" s="23" t="e">
        <v>#N/A</v>
      </c>
      <c r="I10" s="22" t="e">
        <v>#N/A</v>
      </c>
      <c r="J10" s="22" t="e">
        <v>#N/A</v>
      </c>
    </row>
    <row r="11" spans="1:10">
      <c r="A11" s="22" t="s">
        <v>1561</v>
      </c>
      <c r="B11" s="22" t="s">
        <v>1562</v>
      </c>
      <c r="C11" s="22">
        <v>25</v>
      </c>
      <c r="D11" s="22" t="s">
        <v>37</v>
      </c>
      <c r="E11" s="22" t="e">
        <v>#N/A</v>
      </c>
      <c r="F11" s="22" t="s">
        <v>711</v>
      </c>
      <c r="G11" s="22" t="s">
        <v>1563</v>
      </c>
      <c r="H11" s="23" t="e">
        <v>#N/A</v>
      </c>
      <c r="I11" s="22" t="e">
        <v>#N/A</v>
      </c>
      <c r="J11" s="22" t="e">
        <v>#N/A</v>
      </c>
    </row>
    <row r="12" spans="1:10">
      <c r="A12" s="22" t="s">
        <v>1564</v>
      </c>
      <c r="B12" s="22" t="s">
        <v>1565</v>
      </c>
      <c r="C12" s="22">
        <v>21</v>
      </c>
      <c r="D12" s="22" t="s">
        <v>37</v>
      </c>
      <c r="E12" s="22" t="s">
        <v>38</v>
      </c>
      <c r="F12" s="22" t="s">
        <v>711</v>
      </c>
      <c r="G12" s="22" t="s">
        <v>1566</v>
      </c>
      <c r="H12" s="23" t="e">
        <v>#N/A</v>
      </c>
      <c r="I12" s="22" t="e">
        <v>#N/A</v>
      </c>
      <c r="J12" s="22" t="e">
        <v>#N/A</v>
      </c>
    </row>
    <row r="13" spans="1:10">
      <c r="A13" s="22" t="s">
        <v>1567</v>
      </c>
      <c r="B13" s="22" t="s">
        <v>1568</v>
      </c>
      <c r="C13" s="22">
        <v>22</v>
      </c>
      <c r="D13" s="22" t="s">
        <v>63</v>
      </c>
      <c r="E13" s="22" t="e">
        <v>#N/A</v>
      </c>
      <c r="F13" s="22" t="s">
        <v>711</v>
      </c>
      <c r="G13" s="22" t="s">
        <v>95</v>
      </c>
      <c r="H13" s="23" t="e">
        <v>#N/A</v>
      </c>
      <c r="I13" s="22" t="e">
        <v>#N/A</v>
      </c>
      <c r="J13" s="22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50EE-6352-7243-A3D0-29F82ED49EFF}">
  <sheetPr codeName="Sheet2"/>
  <dimension ref="A1:O7"/>
  <sheetViews>
    <sheetView workbookViewId="0">
      <selection activeCell="D2" sqref="D2"/>
    </sheetView>
  </sheetViews>
  <sheetFormatPr baseColWidth="10" defaultColWidth="11" defaultRowHeight="16"/>
  <cols>
    <col min="1" max="1" width="7.5" customWidth="1"/>
    <col min="2" max="2" width="16.5" customWidth="1"/>
    <col min="3" max="3" width="7.33203125" bestFit="1" customWidth="1"/>
    <col min="4" max="4" width="12.33203125" bestFit="1" customWidth="1"/>
    <col min="5" max="5" width="8" bestFit="1" customWidth="1"/>
    <col min="6" max="6" width="14.6640625" style="7" bestFit="1" customWidth="1"/>
    <col min="7" max="7" width="19" bestFit="1" customWidth="1"/>
    <col min="8" max="8" width="6.5" bestFit="1" customWidth="1"/>
    <col min="9" max="10" width="9.1640625" bestFit="1" customWidth="1"/>
    <col min="11" max="11" width="11.1640625" bestFit="1" customWidth="1"/>
    <col min="12" max="12" width="4.83203125" bestFit="1" customWidth="1"/>
    <col min="13" max="13" width="12.6640625" bestFit="1" customWidth="1"/>
  </cols>
  <sheetData>
    <row r="1" spans="1:15">
      <c r="A1" s="22" t="s">
        <v>696</v>
      </c>
      <c r="B1" s="22" t="s">
        <v>0</v>
      </c>
      <c r="C1" s="22" t="s">
        <v>7</v>
      </c>
      <c r="D1" s="22" t="s">
        <v>1569</v>
      </c>
      <c r="E1" s="22" t="s">
        <v>700</v>
      </c>
      <c r="F1" s="7" t="s">
        <v>1570</v>
      </c>
      <c r="G1" s="22" t="s">
        <v>1571</v>
      </c>
      <c r="H1" s="22" t="s">
        <v>1572</v>
      </c>
      <c r="I1" s="22" t="s">
        <v>1573</v>
      </c>
      <c r="J1" s="22" t="s">
        <v>1574</v>
      </c>
      <c r="K1" s="22" t="s">
        <v>1575</v>
      </c>
      <c r="L1" s="22" t="s">
        <v>1576</v>
      </c>
      <c r="M1" s="22" t="s">
        <v>1577</v>
      </c>
      <c r="N1" s="22" t="s">
        <v>1578</v>
      </c>
      <c r="O1" s="22"/>
    </row>
    <row r="2" spans="1:15">
      <c r="A2" s="22" t="str">
        <f>Tracker!L2</f>
        <v>YES</v>
      </c>
      <c r="B2" s="22" t="str">
        <f>Tracker!B2</f>
        <v>Laura Wickham</v>
      </c>
      <c r="C2" s="22" t="str">
        <f>Tracker!M2</f>
        <v>S3 FU</v>
      </c>
      <c r="D2" s="22" t="str">
        <f>Tracker!N2</f>
        <v>N</v>
      </c>
      <c r="E2" s="9">
        <v>43683</v>
      </c>
      <c r="G2" s="22"/>
      <c r="H2" s="22"/>
      <c r="I2" s="22"/>
      <c r="J2" s="22"/>
      <c r="K2" s="22"/>
      <c r="L2" s="22"/>
      <c r="M2" s="22"/>
      <c r="N2" s="22"/>
      <c r="O2" s="22" t="s">
        <v>736</v>
      </c>
    </row>
    <row r="3" spans="1:15">
      <c r="A3" s="22" t="str">
        <f>Tracker!L3</f>
        <v>YES</v>
      </c>
      <c r="B3" s="22" t="str">
        <f>Tracker!B3</f>
        <v>Hannah Strouse</v>
      </c>
      <c r="C3" s="22" t="str">
        <f>Tracker!M3</f>
        <v>S3 FU</v>
      </c>
      <c r="D3" s="22" t="str">
        <f>Tracker!N3</f>
        <v>N</v>
      </c>
      <c r="E3" s="9">
        <v>43684</v>
      </c>
      <c r="F3" s="7" t="s">
        <v>736</v>
      </c>
      <c r="G3" s="22" t="s">
        <v>736</v>
      </c>
      <c r="H3" s="22"/>
      <c r="I3" s="22"/>
      <c r="J3" s="22" t="s">
        <v>736</v>
      </c>
      <c r="K3" s="22"/>
      <c r="L3" s="22"/>
      <c r="M3" s="22"/>
      <c r="N3" s="22"/>
      <c r="O3" s="22" t="s">
        <v>736</v>
      </c>
    </row>
    <row r="4" spans="1:15">
      <c r="A4" s="22" t="str">
        <f>Tracker!L4</f>
        <v>NO</v>
      </c>
      <c r="B4" s="22" t="str">
        <f>Tracker!B4</f>
        <v>Olivia Cohen</v>
      </c>
      <c r="C4" s="22" t="str">
        <f>Tracker!M4</f>
        <v>Ineligible</v>
      </c>
      <c r="D4" s="22" t="str">
        <f>Tracker!N4</f>
        <v>N</v>
      </c>
      <c r="E4" s="9">
        <v>43704</v>
      </c>
      <c r="G4" s="22"/>
      <c r="H4" s="22"/>
      <c r="I4" s="22"/>
      <c r="J4" s="22"/>
      <c r="K4" s="22"/>
      <c r="L4" s="22"/>
      <c r="M4" s="22"/>
      <c r="N4" s="22"/>
      <c r="O4" s="22"/>
    </row>
    <row r="5" spans="1:15">
      <c r="A5" s="22" t="str">
        <f>Tracker!L5</f>
        <v>YES</v>
      </c>
      <c r="B5" s="22" t="str">
        <f>Tracker!B5</f>
        <v>Amy Zankowski</v>
      </c>
      <c r="C5" s="22" t="str">
        <f>Tracker!M5</f>
        <v>S3 FU</v>
      </c>
      <c r="D5" s="22" t="str">
        <f>Tracker!N5</f>
        <v>N</v>
      </c>
      <c r="E5" s="9">
        <v>43705</v>
      </c>
      <c r="G5" s="22"/>
      <c r="H5" s="22"/>
      <c r="I5" s="22"/>
      <c r="J5" s="22"/>
      <c r="K5" s="22"/>
      <c r="L5" s="22"/>
      <c r="M5" s="22"/>
      <c r="N5" s="22"/>
      <c r="O5" s="22"/>
    </row>
    <row r="6" spans="1:15">
      <c r="A6" s="22" t="str">
        <f>Tracker!L6</f>
        <v>YES</v>
      </c>
      <c r="B6" s="22" t="str">
        <f>Tracker!B6</f>
        <v>Ethan Kollat</v>
      </c>
      <c r="C6" s="22" t="str">
        <f>Tracker!M6</f>
        <v>Completed S2</v>
      </c>
      <c r="D6" s="22" t="str">
        <f>Tracker!N6</f>
        <v>Y</v>
      </c>
      <c r="E6" s="9">
        <v>43686</v>
      </c>
      <c r="G6" s="22"/>
      <c r="H6" s="22"/>
      <c r="I6" s="22"/>
      <c r="J6" s="22"/>
      <c r="K6" s="22"/>
      <c r="L6" s="22"/>
      <c r="M6" s="22"/>
      <c r="N6" s="22"/>
      <c r="O6" s="22"/>
    </row>
    <row r="7" spans="1:15">
      <c r="A7" s="22" t="e">
        <f>Tracker!#REF!</f>
        <v>#REF!</v>
      </c>
      <c r="B7" s="22" t="e">
        <f>Tracker!#REF!</f>
        <v>#REF!</v>
      </c>
      <c r="C7" s="22" t="e">
        <f>Tracker!#REF!</f>
        <v>#REF!</v>
      </c>
      <c r="D7" s="22" t="e">
        <f>Tracker!#REF!</f>
        <v>#REF!</v>
      </c>
      <c r="E7" s="9">
        <v>43706</v>
      </c>
      <c r="G7" s="22"/>
      <c r="H7" s="22"/>
      <c r="I7" s="22"/>
      <c r="J7" s="22"/>
      <c r="K7" s="22"/>
      <c r="L7" s="22"/>
      <c r="M7" s="22"/>
      <c r="N7" s="22"/>
      <c r="O7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7E8-ED97-F546-8256-B2A79E777E41}">
  <sheetPr codeName="Sheet3"/>
  <dimension ref="A1:H7"/>
  <sheetViews>
    <sheetView workbookViewId="0">
      <selection activeCell="F7" sqref="F7"/>
    </sheetView>
  </sheetViews>
  <sheetFormatPr baseColWidth="10" defaultColWidth="11" defaultRowHeight="16"/>
  <cols>
    <col min="1" max="1" width="2.83203125" bestFit="1" customWidth="1"/>
    <col min="2" max="2" width="14" bestFit="1" customWidth="1"/>
    <col min="3" max="3" width="7.33203125" bestFit="1" customWidth="1"/>
    <col min="4" max="4" width="12.33203125" bestFit="1" customWidth="1"/>
    <col min="5" max="5" width="9.33203125" style="9" bestFit="1" customWidth="1"/>
    <col min="6" max="6" width="30.6640625" style="7" bestFit="1" customWidth="1"/>
    <col min="7" max="7" width="13.5" bestFit="1" customWidth="1"/>
    <col min="8" max="8" width="4.83203125" bestFit="1" customWidth="1"/>
    <col min="9" max="10" width="9.1640625" bestFit="1" customWidth="1"/>
    <col min="11" max="11" width="11.1640625" bestFit="1" customWidth="1"/>
    <col min="12" max="12" width="4.83203125" bestFit="1" customWidth="1"/>
    <col min="13" max="13" width="12.6640625" bestFit="1" customWidth="1"/>
  </cols>
  <sheetData>
    <row r="1" spans="1:8">
      <c r="A1" s="22" t="s">
        <v>696</v>
      </c>
      <c r="B1" s="22" t="s">
        <v>0</v>
      </c>
      <c r="C1" s="22" t="s">
        <v>7</v>
      </c>
      <c r="D1" s="22" t="s">
        <v>1569</v>
      </c>
      <c r="E1" s="9" t="s">
        <v>701</v>
      </c>
      <c r="F1" s="7" t="s">
        <v>1579</v>
      </c>
      <c r="G1" s="8" t="s">
        <v>1580</v>
      </c>
      <c r="H1" s="8" t="s">
        <v>1581</v>
      </c>
    </row>
    <row r="2" spans="1:8">
      <c r="A2" s="22" t="str">
        <f>Tracker!L2</f>
        <v>YES</v>
      </c>
      <c r="B2" s="22" t="str">
        <f>Tracker!B2</f>
        <v>Laura Wickham</v>
      </c>
      <c r="C2" s="22" t="str">
        <f>Tracker!M2</f>
        <v>S3 FU</v>
      </c>
      <c r="D2" s="22" t="str">
        <f>Tracker!N2</f>
        <v>N</v>
      </c>
      <c r="E2" s="9">
        <v>43698</v>
      </c>
      <c r="G2" s="22"/>
      <c r="H2" s="22"/>
    </row>
    <row r="3" spans="1:8">
      <c r="A3" s="22" t="str">
        <f>Tracker!L3</f>
        <v>YES</v>
      </c>
      <c r="B3" s="22" t="str">
        <f>Tracker!B3</f>
        <v>Hannah Strouse</v>
      </c>
      <c r="C3" s="22" t="str">
        <f>Tracker!M3</f>
        <v>S3 FU</v>
      </c>
      <c r="D3" s="22" t="str">
        <f>Tracker!N3</f>
        <v>N</v>
      </c>
      <c r="E3" s="9">
        <f>Tracker!V3</f>
        <v>0</v>
      </c>
      <c r="G3" s="22"/>
      <c r="H3" s="22"/>
    </row>
    <row r="4" spans="1:8">
      <c r="A4" s="22" t="str">
        <f>Tracker!L4</f>
        <v>NO</v>
      </c>
      <c r="B4" s="22" t="str">
        <f>Tracker!B4</f>
        <v>Olivia Cohen</v>
      </c>
      <c r="C4" s="22" t="str">
        <f>Tracker!M4</f>
        <v>Ineligible</v>
      </c>
      <c r="D4" s="22" t="str">
        <f>Tracker!N4</f>
        <v>N</v>
      </c>
      <c r="E4" s="9">
        <f>Tracker!V4</f>
        <v>0</v>
      </c>
      <c r="G4" s="22"/>
      <c r="H4" s="22"/>
    </row>
    <row r="5" spans="1:8">
      <c r="A5" s="22" t="str">
        <f>Tracker!L5</f>
        <v>YES</v>
      </c>
      <c r="B5" s="22" t="str">
        <f>Tracker!B5</f>
        <v>Amy Zankowski</v>
      </c>
      <c r="C5" s="22" t="str">
        <f>Tracker!M5</f>
        <v>S3 FU</v>
      </c>
      <c r="D5" s="22" t="str">
        <f>Tracker!N5</f>
        <v>N</v>
      </c>
      <c r="E5" s="9">
        <f>Tracker!V5</f>
        <v>0</v>
      </c>
      <c r="G5" s="22"/>
      <c r="H5" s="22"/>
    </row>
    <row r="6" spans="1:8">
      <c r="A6" s="22" t="str">
        <f>Tracker!L6</f>
        <v>YES</v>
      </c>
      <c r="B6" s="22" t="str">
        <f>Tracker!B6</f>
        <v>Ethan Kollat</v>
      </c>
      <c r="C6" s="22" t="str">
        <f>Tracker!M6</f>
        <v>Completed S2</v>
      </c>
      <c r="D6" s="22" t="str">
        <f>Tracker!N6</f>
        <v>Y</v>
      </c>
      <c r="E6" s="9">
        <f>Tracker!V6</f>
        <v>0</v>
      </c>
      <c r="G6" s="22"/>
      <c r="H6" s="22"/>
    </row>
    <row r="7" spans="1:8">
      <c r="A7" s="22" t="e">
        <f>Tracker!#REF!</f>
        <v>#REF!</v>
      </c>
      <c r="B7" s="22" t="e">
        <f>Tracker!#REF!</f>
        <v>#REF!</v>
      </c>
      <c r="C7" s="22" t="e">
        <f>Tracker!#REF!</f>
        <v>#REF!</v>
      </c>
      <c r="D7" s="22" t="e">
        <f>Tracker!#REF!</f>
        <v>#REF!</v>
      </c>
      <c r="E7" s="9" t="e">
        <f>Tracker!#REF!</f>
        <v>#REF!</v>
      </c>
      <c r="G7" s="22"/>
      <c r="H7" s="2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9D58-8D45-AB44-BA52-0535BF2F8F9A}">
  <sheetPr codeName="Sheet4"/>
  <dimension ref="A1:F7"/>
  <sheetViews>
    <sheetView workbookViewId="0">
      <selection activeCell="E6" sqref="E6"/>
    </sheetView>
  </sheetViews>
  <sheetFormatPr baseColWidth="10" defaultColWidth="11" defaultRowHeight="16"/>
  <cols>
    <col min="1" max="1" width="7.5" customWidth="1"/>
    <col min="2" max="2" width="16.5" customWidth="1"/>
    <col min="3" max="3" width="7.33203125" bestFit="1" customWidth="1"/>
    <col min="4" max="4" width="12.33203125" bestFit="1" customWidth="1"/>
    <col min="5" max="5" width="8" bestFit="1" customWidth="1"/>
    <col min="6" max="6" width="14.6640625" style="7" bestFit="1" customWidth="1"/>
    <col min="7" max="7" width="19" bestFit="1" customWidth="1"/>
    <col min="8" max="8" width="6.5" bestFit="1" customWidth="1"/>
    <col min="9" max="10" width="9.1640625" bestFit="1" customWidth="1"/>
    <col min="11" max="11" width="11.1640625" bestFit="1" customWidth="1"/>
    <col min="12" max="12" width="4.83203125" bestFit="1" customWidth="1"/>
    <col min="13" max="13" width="12.6640625" bestFit="1" customWidth="1"/>
  </cols>
  <sheetData>
    <row r="1" spans="1:5">
      <c r="A1" s="22" t="s">
        <v>696</v>
      </c>
      <c r="B1" s="22" t="s">
        <v>0</v>
      </c>
      <c r="C1" s="22" t="s">
        <v>7</v>
      </c>
      <c r="D1" s="22" t="s">
        <v>1569</v>
      </c>
      <c r="E1" s="22" t="s">
        <v>702</v>
      </c>
    </row>
    <row r="2" spans="1:5">
      <c r="A2" s="22" t="str">
        <f>Tracker!L2</f>
        <v>YES</v>
      </c>
      <c r="B2" s="22" t="str">
        <f>Tracker!B2</f>
        <v>Laura Wickham</v>
      </c>
      <c r="C2" s="22" t="str">
        <f>Tracker!M2</f>
        <v>S3 FU</v>
      </c>
      <c r="D2" s="22" t="str">
        <f>Tracker!N2</f>
        <v>N</v>
      </c>
      <c r="E2" s="9">
        <f>Tracker!W2</f>
        <v>0</v>
      </c>
    </row>
    <row r="3" spans="1:5">
      <c r="A3" s="22" t="str">
        <f>Tracker!L3</f>
        <v>YES</v>
      </c>
      <c r="B3" s="22" t="str">
        <f>Tracker!B3</f>
        <v>Hannah Strouse</v>
      </c>
      <c r="C3" s="22" t="str">
        <f>Tracker!M3</f>
        <v>S3 FU</v>
      </c>
      <c r="D3" s="22" t="str">
        <f>Tracker!N3</f>
        <v>N</v>
      </c>
      <c r="E3" s="9">
        <f>Tracker!W3</f>
        <v>0</v>
      </c>
    </row>
    <row r="4" spans="1:5">
      <c r="A4" s="22" t="str">
        <f>Tracker!L4</f>
        <v>NO</v>
      </c>
      <c r="B4" s="22" t="str">
        <f>Tracker!B4</f>
        <v>Olivia Cohen</v>
      </c>
      <c r="C4" s="22" t="str">
        <f>Tracker!M4</f>
        <v>Ineligible</v>
      </c>
      <c r="D4" s="22" t="str">
        <f>Tracker!N4</f>
        <v>N</v>
      </c>
      <c r="E4" s="9">
        <f>Tracker!W4</f>
        <v>0</v>
      </c>
    </row>
    <row r="5" spans="1:5">
      <c r="A5" s="22" t="str">
        <f>Tracker!L5</f>
        <v>YES</v>
      </c>
      <c r="B5" s="22" t="str">
        <f>Tracker!B5</f>
        <v>Amy Zankowski</v>
      </c>
      <c r="C5" s="22" t="str">
        <f>Tracker!M5</f>
        <v>S3 FU</v>
      </c>
      <c r="D5" s="22" t="str">
        <f>Tracker!N5</f>
        <v>N</v>
      </c>
      <c r="E5" s="9">
        <f>Tracker!W5</f>
        <v>0</v>
      </c>
    </row>
    <row r="6" spans="1:5">
      <c r="A6" s="22" t="str">
        <f>Tracker!L6</f>
        <v>YES</v>
      </c>
      <c r="B6" s="22" t="str">
        <f>Tracker!B6</f>
        <v>Ethan Kollat</v>
      </c>
      <c r="C6" s="22" t="str">
        <f>Tracker!M6</f>
        <v>Completed S2</v>
      </c>
      <c r="D6" s="22" t="str">
        <f>Tracker!N6</f>
        <v>Y</v>
      </c>
      <c r="E6" s="9">
        <f>Tracker!W6</f>
        <v>0</v>
      </c>
    </row>
    <row r="7" spans="1:5">
      <c r="A7" s="22" t="e">
        <f>Tracker!#REF!</f>
        <v>#REF!</v>
      </c>
      <c r="B7" s="22" t="e">
        <f>Tracker!#REF!</f>
        <v>#REF!</v>
      </c>
      <c r="C7" s="22" t="e">
        <f>Tracker!#REF!</f>
        <v>#REF!</v>
      </c>
      <c r="D7" s="22" t="e">
        <f>Tracker!#REF!</f>
        <v>#REF!</v>
      </c>
      <c r="E7" s="9" t="e">
        <f>Tracker!#REF!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89B5-03A5-1446-A948-37E8285D2B37}">
  <sheetPr codeName="Sheet7"/>
  <dimension ref="A1:F7"/>
  <sheetViews>
    <sheetView workbookViewId="0">
      <selection activeCell="F1" sqref="F1:O1"/>
    </sheetView>
  </sheetViews>
  <sheetFormatPr baseColWidth="10" defaultColWidth="11" defaultRowHeight="16"/>
  <cols>
    <col min="1" max="1" width="7.5" customWidth="1"/>
    <col min="2" max="2" width="16.5" customWidth="1"/>
    <col min="3" max="3" width="7.33203125" bestFit="1" customWidth="1"/>
    <col min="4" max="4" width="12.33203125" bestFit="1" customWidth="1"/>
    <col min="5" max="5" width="8" bestFit="1" customWidth="1"/>
    <col min="6" max="6" width="14.6640625" style="7" bestFit="1" customWidth="1"/>
    <col min="7" max="7" width="19" bestFit="1" customWidth="1"/>
    <col min="8" max="8" width="6.5" bestFit="1" customWidth="1"/>
    <col min="9" max="10" width="9.1640625" bestFit="1" customWidth="1"/>
    <col min="11" max="11" width="11.1640625" bestFit="1" customWidth="1"/>
    <col min="12" max="12" width="4.83203125" bestFit="1" customWidth="1"/>
    <col min="13" max="13" width="12.6640625" bestFit="1" customWidth="1"/>
  </cols>
  <sheetData>
    <row r="1" spans="1:5">
      <c r="A1" s="22" t="s">
        <v>696</v>
      </c>
      <c r="B1" s="22" t="s">
        <v>0</v>
      </c>
      <c r="C1" s="22" t="s">
        <v>7</v>
      </c>
      <c r="D1" s="22" t="s">
        <v>1569</v>
      </c>
      <c r="E1" s="22" t="s">
        <v>703</v>
      </c>
    </row>
    <row r="2" spans="1:5">
      <c r="A2" s="22" t="str">
        <f>Tracker!L2</f>
        <v>YES</v>
      </c>
      <c r="B2" s="22" t="str">
        <f>Tracker!B2</f>
        <v>Laura Wickham</v>
      </c>
      <c r="C2" s="22" t="str">
        <f>Tracker!M2</f>
        <v>S3 FU</v>
      </c>
      <c r="D2" s="22" t="str">
        <f>Tracker!N2</f>
        <v>N</v>
      </c>
      <c r="E2" s="9" t="str">
        <f>Tracker!X2</f>
        <v>Sent email about S3 on 9/17</v>
      </c>
    </row>
    <row r="3" spans="1:5">
      <c r="A3" s="22" t="str">
        <f>Tracker!L3</f>
        <v>YES</v>
      </c>
      <c r="B3" s="22" t="str">
        <f>Tracker!B3</f>
        <v>Hannah Strouse</v>
      </c>
      <c r="C3" s="22" t="str">
        <f>Tracker!M3</f>
        <v>S3 FU</v>
      </c>
      <c r="D3" s="22" t="str">
        <f>Tracker!N3</f>
        <v>N</v>
      </c>
      <c r="E3" s="9" t="str">
        <f>Tracker!X3</f>
        <v>Sent email about S3 on 9/17</v>
      </c>
    </row>
    <row r="4" spans="1:5">
      <c r="A4" s="22" t="str">
        <f>Tracker!L4</f>
        <v>NO</v>
      </c>
      <c r="B4" s="22" t="str">
        <f>Tracker!B4</f>
        <v>Olivia Cohen</v>
      </c>
      <c r="C4" s="22" t="str">
        <f>Tracker!M4</f>
        <v>Ineligible</v>
      </c>
      <c r="D4" s="22" t="str">
        <f>Tracker!N4</f>
        <v>N</v>
      </c>
      <c r="E4" s="9">
        <f>Tracker!X4</f>
        <v>0</v>
      </c>
    </row>
    <row r="5" spans="1:5">
      <c r="A5" s="22" t="str">
        <f>Tracker!L5</f>
        <v>YES</v>
      </c>
      <c r="B5" s="22" t="str">
        <f>Tracker!B5</f>
        <v>Amy Zankowski</v>
      </c>
      <c r="C5" s="22" t="str">
        <f>Tracker!M5</f>
        <v>S3 FU</v>
      </c>
      <c r="D5" s="22" t="str">
        <f>Tracker!N5</f>
        <v>N</v>
      </c>
      <c r="E5" s="9" t="str">
        <f>Tracker!X5</f>
        <v>Sent email about S3 on 9/17</v>
      </c>
    </row>
    <row r="6" spans="1:5">
      <c r="A6" s="22" t="str">
        <f>Tracker!L6</f>
        <v>YES</v>
      </c>
      <c r="B6" s="22" t="str">
        <f>Tracker!B6</f>
        <v>Ethan Kollat</v>
      </c>
      <c r="C6" s="22" t="str">
        <f>Tracker!M6</f>
        <v>Completed S2</v>
      </c>
      <c r="D6" s="22" t="str">
        <f>Tracker!N6</f>
        <v>Y</v>
      </c>
      <c r="E6" s="9" t="str">
        <f>Tracker!X6</f>
        <v>Sent email about S3 on 9/17</v>
      </c>
    </row>
    <row r="7" spans="1:5">
      <c r="A7" s="22" t="e">
        <f>Tracker!#REF!</f>
        <v>#REF!</v>
      </c>
      <c r="B7" s="22" t="e">
        <f>Tracker!#REF!</f>
        <v>#REF!</v>
      </c>
      <c r="C7" s="22" t="e">
        <f>Tracker!#REF!</f>
        <v>#REF!</v>
      </c>
      <c r="D7" s="22" t="e">
        <f>Tracker!#REF!</f>
        <v>#REF!</v>
      </c>
      <c r="E7" s="9" t="e">
        <f>Tracker!#REF!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42AB-4FF4-1541-8BD1-C4F050C65F6A}">
  <sheetPr codeName="Sheet8"/>
  <dimension ref="A1:F7"/>
  <sheetViews>
    <sheetView workbookViewId="0">
      <selection activeCell="F3" sqref="F3"/>
    </sheetView>
  </sheetViews>
  <sheetFormatPr baseColWidth="10" defaultColWidth="11" defaultRowHeight="16"/>
  <cols>
    <col min="1" max="1" width="7.5" customWidth="1"/>
    <col min="2" max="2" width="16.5" customWidth="1"/>
    <col min="3" max="3" width="7.33203125" bestFit="1" customWidth="1"/>
    <col min="4" max="4" width="12.33203125" bestFit="1" customWidth="1"/>
    <col min="5" max="5" width="8" bestFit="1" customWidth="1"/>
    <col min="6" max="6" width="14.6640625" style="7" bestFit="1" customWidth="1"/>
    <col min="7" max="7" width="19" bestFit="1" customWidth="1"/>
    <col min="8" max="8" width="6.5" bestFit="1" customWidth="1"/>
    <col min="9" max="10" width="9.1640625" bestFit="1" customWidth="1"/>
    <col min="11" max="11" width="11.1640625" bestFit="1" customWidth="1"/>
    <col min="12" max="12" width="4.83203125" bestFit="1" customWidth="1"/>
    <col min="13" max="13" width="12.6640625" bestFit="1" customWidth="1"/>
  </cols>
  <sheetData>
    <row r="1" spans="1:5">
      <c r="A1" s="22" t="s">
        <v>696</v>
      </c>
      <c r="B1" s="22" t="s">
        <v>0</v>
      </c>
      <c r="C1" s="22" t="s">
        <v>7</v>
      </c>
      <c r="D1" s="22" t="s">
        <v>1569</v>
      </c>
      <c r="E1" s="22" t="s">
        <v>704</v>
      </c>
    </row>
    <row r="2" spans="1:5">
      <c r="A2" s="22" t="str">
        <f>Tracker!L2</f>
        <v>YES</v>
      </c>
      <c r="B2" s="22" t="str">
        <f>Tracker!B2</f>
        <v>Laura Wickham</v>
      </c>
      <c r="C2" s="22" t="str">
        <f>Tracker!M2</f>
        <v>S3 FU</v>
      </c>
      <c r="D2" s="22" t="str">
        <f>Tracker!N2</f>
        <v>N</v>
      </c>
      <c r="E2" s="9">
        <f>Tracker!Y2</f>
        <v>0</v>
      </c>
    </row>
    <row r="3" spans="1:5">
      <c r="A3" s="22" t="str">
        <f>Tracker!L3</f>
        <v>YES</v>
      </c>
      <c r="B3" s="22" t="str">
        <f>Tracker!B3</f>
        <v>Hannah Strouse</v>
      </c>
      <c r="C3" s="22" t="str">
        <f>Tracker!M3</f>
        <v>S3 FU</v>
      </c>
      <c r="D3" s="22" t="str">
        <f>Tracker!N3</f>
        <v>N</v>
      </c>
      <c r="E3" s="9">
        <f>Tracker!Y3</f>
        <v>0</v>
      </c>
    </row>
    <row r="4" spans="1:5">
      <c r="A4" s="22" t="str">
        <f>Tracker!L4</f>
        <v>NO</v>
      </c>
      <c r="B4" s="22" t="str">
        <f>Tracker!B4</f>
        <v>Olivia Cohen</v>
      </c>
      <c r="C4" s="22" t="str">
        <f>Tracker!M4</f>
        <v>Ineligible</v>
      </c>
      <c r="D4" s="22" t="str">
        <f>Tracker!N4</f>
        <v>N</v>
      </c>
      <c r="E4" s="9">
        <f>Tracker!Y4</f>
        <v>0</v>
      </c>
    </row>
    <row r="5" spans="1:5">
      <c r="A5" s="22" t="str">
        <f>Tracker!L5</f>
        <v>YES</v>
      </c>
      <c r="B5" s="22" t="str">
        <f>Tracker!B5</f>
        <v>Amy Zankowski</v>
      </c>
      <c r="C5" s="22" t="str">
        <f>Tracker!M5</f>
        <v>S3 FU</v>
      </c>
      <c r="D5" s="22" t="str">
        <f>Tracker!N5</f>
        <v>N</v>
      </c>
      <c r="E5" s="9">
        <f>Tracker!Y5</f>
        <v>0</v>
      </c>
    </row>
    <row r="6" spans="1:5">
      <c r="A6" s="22" t="str">
        <f>Tracker!L6</f>
        <v>YES</v>
      </c>
      <c r="B6" s="22" t="str">
        <f>Tracker!B6</f>
        <v>Ethan Kollat</v>
      </c>
      <c r="C6" s="22" t="str">
        <f>Tracker!M6</f>
        <v>Completed S2</v>
      </c>
      <c r="D6" s="22" t="str">
        <f>Tracker!N6</f>
        <v>Y</v>
      </c>
      <c r="E6" s="9">
        <f>Tracker!Y6</f>
        <v>0</v>
      </c>
    </row>
    <row r="7" spans="1:5">
      <c r="A7" s="22" t="e">
        <f>Tracker!#REF!</f>
        <v>#REF!</v>
      </c>
      <c r="B7" s="22" t="e">
        <f>Tracker!#REF!</f>
        <v>#REF!</v>
      </c>
      <c r="C7" s="22" t="e">
        <f>Tracker!#REF!</f>
        <v>#REF!</v>
      </c>
      <c r="D7" s="22" t="e">
        <f>Tracker!#REF!</f>
        <v>#REF!</v>
      </c>
      <c r="E7" s="9" t="e">
        <f>Tracker!#REF!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C895-25B8-3949-A7B6-89451BA1EDA9}">
  <sheetPr codeName="Sheet6"/>
  <dimension ref="A1:F2"/>
  <sheetViews>
    <sheetView workbookViewId="0">
      <selection activeCell="D18" sqref="D18"/>
    </sheetView>
  </sheetViews>
  <sheetFormatPr baseColWidth="10" defaultColWidth="11" defaultRowHeight="16"/>
  <cols>
    <col min="1" max="1" width="16.33203125" customWidth="1"/>
  </cols>
  <sheetData>
    <row r="1" spans="1:6">
      <c r="A1" s="22" t="s">
        <v>1582</v>
      </c>
      <c r="B1" s="22" t="s">
        <v>1583</v>
      </c>
      <c r="C1" s="22" t="s">
        <v>1584</v>
      </c>
      <c r="D1" s="22" t="s">
        <v>1585</v>
      </c>
      <c r="E1" s="22" t="s">
        <v>581</v>
      </c>
      <c r="F1" s="22" t="s">
        <v>1586</v>
      </c>
    </row>
    <row r="2" spans="1:6">
      <c r="A2" s="22" t="s">
        <v>44</v>
      </c>
      <c r="B2" s="22"/>
      <c r="C2" s="22"/>
      <c r="D2" s="22"/>
      <c r="E2" s="22"/>
      <c r="F2" s="22" t="s">
        <v>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4745-AC4A-4545-AC4C-1F9BB78EC20F}">
  <dimension ref="A1:T20"/>
  <sheetViews>
    <sheetView workbookViewId="0">
      <selection activeCell="L8" sqref="L8"/>
    </sheetView>
  </sheetViews>
  <sheetFormatPr baseColWidth="10" defaultColWidth="10.83203125" defaultRowHeight="16"/>
  <cols>
    <col min="1" max="1" width="10.83203125" style="22"/>
    <col min="2" max="2" width="16.6640625" style="22" customWidth="1"/>
    <col min="3" max="4" width="10.83203125" style="22"/>
    <col min="5" max="5" width="26.5" style="22" customWidth="1"/>
    <col min="6" max="6" width="20" style="22" customWidth="1"/>
    <col min="7" max="7" width="23.5" style="9" customWidth="1"/>
    <col min="8" max="8" width="20.33203125" style="22" customWidth="1"/>
    <col min="9" max="10" width="16.33203125" style="22" customWidth="1"/>
    <col min="11" max="11" width="30.6640625" style="22" customWidth="1"/>
    <col min="12" max="12" width="21.33203125" style="9" customWidth="1"/>
    <col min="13" max="16384" width="10.83203125" style="22"/>
  </cols>
  <sheetData>
    <row r="1" spans="1:18" s="25" customFormat="1">
      <c r="A1" s="24" t="s">
        <v>696</v>
      </c>
      <c r="B1" s="25" t="s">
        <v>0</v>
      </c>
      <c r="C1" s="25" t="s">
        <v>1</v>
      </c>
      <c r="D1" s="25" t="s">
        <v>2</v>
      </c>
      <c r="E1" s="24" t="s">
        <v>3</v>
      </c>
      <c r="F1" s="24" t="s">
        <v>4</v>
      </c>
      <c r="G1" s="46" t="s">
        <v>697</v>
      </c>
      <c r="H1" s="24" t="s">
        <v>7</v>
      </c>
      <c r="I1" s="24" t="s">
        <v>698</v>
      </c>
      <c r="J1" s="24" t="s">
        <v>11</v>
      </c>
      <c r="K1" s="24" t="s">
        <v>699</v>
      </c>
      <c r="L1" s="46" t="s">
        <v>700</v>
      </c>
      <c r="M1" s="24" t="s">
        <v>701</v>
      </c>
      <c r="N1" s="24" t="s">
        <v>702</v>
      </c>
      <c r="O1" s="24" t="s">
        <v>703</v>
      </c>
      <c r="P1" s="24" t="s">
        <v>704</v>
      </c>
      <c r="Q1" s="24" t="s">
        <v>12</v>
      </c>
      <c r="R1" s="25" t="s">
        <v>32</v>
      </c>
    </row>
    <row r="2" spans="1:18">
      <c r="A2" s="4">
        <v>1</v>
      </c>
      <c r="B2" s="22" t="s">
        <v>33</v>
      </c>
      <c r="C2" s="22" t="s">
        <v>34</v>
      </c>
      <c r="D2" s="22" t="s">
        <v>35</v>
      </c>
      <c r="E2" s="5" t="s">
        <v>36</v>
      </c>
      <c r="F2" s="3">
        <v>7328560626</v>
      </c>
      <c r="G2" s="26">
        <v>43673</v>
      </c>
      <c r="H2" s="22" t="s">
        <v>38</v>
      </c>
      <c r="I2" s="22" t="s">
        <v>705</v>
      </c>
      <c r="J2" s="22" t="s">
        <v>706</v>
      </c>
      <c r="K2" s="22" t="s">
        <v>707</v>
      </c>
      <c r="L2" s="9">
        <v>43691</v>
      </c>
      <c r="M2" s="9">
        <v>43698</v>
      </c>
      <c r="N2" s="9"/>
    </row>
    <row r="3" spans="1:18">
      <c r="A3" s="4">
        <v>2</v>
      </c>
      <c r="B3" s="22" t="s">
        <v>44</v>
      </c>
      <c r="C3" s="22" t="s">
        <v>45</v>
      </c>
      <c r="D3" s="22" t="s">
        <v>46</v>
      </c>
      <c r="E3" s="5" t="s">
        <v>47</v>
      </c>
      <c r="F3" s="3" t="s">
        <v>48</v>
      </c>
      <c r="G3" s="26">
        <v>43670</v>
      </c>
      <c r="H3" s="22" t="s">
        <v>38</v>
      </c>
      <c r="I3" s="22" t="s">
        <v>705</v>
      </c>
      <c r="J3" s="22" t="s">
        <v>706</v>
      </c>
      <c r="K3" s="22" t="s">
        <v>707</v>
      </c>
      <c r="L3" s="9">
        <v>43684</v>
      </c>
      <c r="M3" s="9">
        <v>43686</v>
      </c>
      <c r="N3" s="9"/>
    </row>
    <row r="4" spans="1:18">
      <c r="A4" s="4">
        <v>3</v>
      </c>
      <c r="B4" s="22" t="s">
        <v>50</v>
      </c>
      <c r="C4" s="22" t="s">
        <v>51</v>
      </c>
      <c r="D4" s="22" t="s">
        <v>52</v>
      </c>
      <c r="E4" s="6" t="s">
        <v>53</v>
      </c>
      <c r="F4" s="3">
        <v>6073398123</v>
      </c>
      <c r="G4" s="26">
        <v>43676</v>
      </c>
      <c r="H4" s="26"/>
      <c r="I4" s="22" t="s">
        <v>708</v>
      </c>
      <c r="J4" s="22" t="s">
        <v>709</v>
      </c>
      <c r="K4" s="22" t="s">
        <v>707</v>
      </c>
      <c r="L4" s="9">
        <v>43704</v>
      </c>
    </row>
    <row r="5" spans="1:18">
      <c r="A5" s="4">
        <v>4</v>
      </c>
      <c r="B5" s="1" t="s">
        <v>55</v>
      </c>
      <c r="C5" s="1" t="s">
        <v>56</v>
      </c>
      <c r="D5" s="1" t="s">
        <v>57</v>
      </c>
      <c r="E5" s="2" t="s">
        <v>58</v>
      </c>
      <c r="F5" s="3">
        <v>3013106934</v>
      </c>
      <c r="G5" s="26">
        <v>43672</v>
      </c>
      <c r="H5" s="26"/>
      <c r="I5" s="22" t="s">
        <v>705</v>
      </c>
      <c r="J5" s="22" t="s">
        <v>710</v>
      </c>
      <c r="L5" s="9">
        <v>43705</v>
      </c>
    </row>
    <row r="6" spans="1:18">
      <c r="A6" s="4">
        <v>5</v>
      </c>
      <c r="B6" s="22" t="s">
        <v>59</v>
      </c>
      <c r="C6" s="22" t="s">
        <v>60</v>
      </c>
      <c r="D6" s="22" t="s">
        <v>61</v>
      </c>
      <c r="E6" s="5" t="s">
        <v>62</v>
      </c>
      <c r="F6" s="3">
        <v>8143604025</v>
      </c>
      <c r="G6" s="26">
        <v>43690</v>
      </c>
      <c r="H6" s="26" t="s">
        <v>38</v>
      </c>
      <c r="I6" s="22" t="s">
        <v>705</v>
      </c>
      <c r="J6" s="20" t="s">
        <v>710</v>
      </c>
      <c r="K6" s="20"/>
      <c r="L6" s="9">
        <v>43693</v>
      </c>
      <c r="M6" s="9">
        <v>43714</v>
      </c>
    </row>
    <row r="7" spans="1:18">
      <c r="A7" s="4">
        <v>6</v>
      </c>
      <c r="B7" s="22" t="str">
        <f>_xlfn.TEXTJOIN(" ",,C7,D7)</f>
        <v>Kyla Sewell</v>
      </c>
      <c r="C7" s="22" t="s">
        <v>454</v>
      </c>
      <c r="D7" s="22" t="s">
        <v>455</v>
      </c>
      <c r="E7" s="5" t="s">
        <v>456</v>
      </c>
      <c r="F7" s="3">
        <v>9177144776</v>
      </c>
      <c r="G7" s="33">
        <v>43718</v>
      </c>
      <c r="H7" s="3"/>
      <c r="I7" s="4"/>
      <c r="J7" s="22" t="s">
        <v>711</v>
      </c>
      <c r="L7" s="9">
        <v>43720</v>
      </c>
      <c r="O7" s="9"/>
      <c r="P7" s="9"/>
    </row>
    <row r="8" spans="1:18">
      <c r="A8" s="4">
        <v>7</v>
      </c>
      <c r="B8" s="22" t="str">
        <f>_xlfn.TEXTJOIN(" ",,C8,D8)</f>
        <v>Kyle Snyder</v>
      </c>
      <c r="C8" s="22" t="s">
        <v>71</v>
      </c>
      <c r="D8" s="22" t="s">
        <v>72</v>
      </c>
      <c r="E8" s="5" t="s">
        <v>73</v>
      </c>
      <c r="F8" s="3">
        <v>7173719399</v>
      </c>
      <c r="G8" s="26">
        <v>43686</v>
      </c>
      <c r="H8" s="26"/>
      <c r="J8" s="22" t="s">
        <v>712</v>
      </c>
      <c r="L8" s="9" t="s">
        <v>713</v>
      </c>
    </row>
    <row r="9" spans="1:18">
      <c r="A9" s="4">
        <v>8</v>
      </c>
      <c r="B9" s="22" t="str">
        <f>_xlfn.TEXTJOIN(" ",,C9,D9)</f>
        <v>Haley Brown</v>
      </c>
      <c r="C9" s="22" t="s">
        <v>75</v>
      </c>
      <c r="D9" s="22" t="s">
        <v>76</v>
      </c>
      <c r="E9" s="5" t="s">
        <v>77</v>
      </c>
      <c r="F9" s="3">
        <v>8148806916</v>
      </c>
      <c r="G9" s="26">
        <v>43682</v>
      </c>
      <c r="H9" s="26"/>
      <c r="J9" s="22" t="s">
        <v>706</v>
      </c>
      <c r="L9" s="9" t="s">
        <v>714</v>
      </c>
    </row>
    <row r="10" spans="1:18">
      <c r="A10" s="4">
        <v>9</v>
      </c>
      <c r="B10" s="22" t="str">
        <f>_xlfn.TEXTJOIN(" ",,C10,D10)</f>
        <v>Jessica Roussey</v>
      </c>
      <c r="C10" s="22" t="s">
        <v>78</v>
      </c>
      <c r="D10" s="18" t="s">
        <v>79</v>
      </c>
      <c r="E10" s="19" t="s">
        <v>80</v>
      </c>
      <c r="F10" s="3" t="s">
        <v>715</v>
      </c>
      <c r="G10" s="26">
        <v>43684</v>
      </c>
      <c r="H10" s="26"/>
      <c r="J10" s="22" t="s">
        <v>716</v>
      </c>
      <c r="L10" s="9" t="s">
        <v>717</v>
      </c>
    </row>
    <row r="11" spans="1:18">
      <c r="A11" s="4">
        <v>10</v>
      </c>
      <c r="B11" s="22" t="str">
        <f>_xlfn.TEXTJOIN(" ",,C11,D11)</f>
        <v>Avery Everett</v>
      </c>
      <c r="C11" s="20" t="s">
        <v>81</v>
      </c>
      <c r="D11" s="20" t="s">
        <v>82</v>
      </c>
      <c r="E11" s="21" t="s">
        <v>83</v>
      </c>
      <c r="F11" s="20" t="s">
        <v>84</v>
      </c>
      <c r="G11" s="26">
        <v>43689</v>
      </c>
      <c r="H11" s="26"/>
      <c r="J11" s="22" t="s">
        <v>712</v>
      </c>
      <c r="L11" s="9" t="s">
        <v>718</v>
      </c>
    </row>
    <row r="12" spans="1:18">
      <c r="A12" s="4">
        <v>11</v>
      </c>
      <c r="B12" s="22" t="s">
        <v>86</v>
      </c>
      <c r="C12" s="27" t="s">
        <v>87</v>
      </c>
      <c r="D12" s="22" t="s">
        <v>88</v>
      </c>
      <c r="E12" s="5" t="s">
        <v>89</v>
      </c>
      <c r="F12" s="3">
        <v>2676151897</v>
      </c>
      <c r="G12" s="26">
        <v>43681</v>
      </c>
      <c r="H12" s="26"/>
      <c r="J12" s="22" t="s">
        <v>710</v>
      </c>
      <c r="L12" s="9">
        <v>43706</v>
      </c>
    </row>
    <row r="13" spans="1:18">
      <c r="A13" s="4">
        <v>12</v>
      </c>
      <c r="B13" s="27" t="s">
        <v>90</v>
      </c>
      <c r="C13" s="20" t="s">
        <v>91</v>
      </c>
      <c r="D13" s="22" t="s">
        <v>92</v>
      </c>
      <c r="E13" s="5" t="s">
        <v>93</v>
      </c>
      <c r="F13" s="3" t="s">
        <v>94</v>
      </c>
      <c r="G13" s="26">
        <v>43691</v>
      </c>
      <c r="H13" s="26"/>
      <c r="J13" s="22" t="s">
        <v>706</v>
      </c>
      <c r="L13" s="9" t="s">
        <v>719</v>
      </c>
      <c r="M13" s="9">
        <v>43713</v>
      </c>
    </row>
    <row r="14" spans="1:18">
      <c r="A14" s="4">
        <v>13</v>
      </c>
      <c r="B14" s="22" t="str">
        <f>_xlfn.TEXTJOIN(" ",,C14,D14)</f>
        <v>Kiarat Vidal</v>
      </c>
      <c r="C14" s="20" t="s">
        <v>280</v>
      </c>
      <c r="D14" s="28" t="s">
        <v>281</v>
      </c>
      <c r="E14" s="21" t="s">
        <v>282</v>
      </c>
      <c r="F14" s="20"/>
      <c r="G14" s="29"/>
      <c r="H14" s="29"/>
      <c r="I14" s="20" t="s">
        <v>705</v>
      </c>
      <c r="J14" s="22" t="s">
        <v>712</v>
      </c>
      <c r="K14" s="4"/>
      <c r="L14" s="9">
        <v>43710</v>
      </c>
    </row>
    <row r="15" spans="1:18">
      <c r="A15" s="4">
        <v>14</v>
      </c>
      <c r="B15" s="22" t="str">
        <f>_xlfn.TEXTJOIN(" ",,C15,D15)</f>
        <v>Francis Musaraca</v>
      </c>
      <c r="C15" s="22" t="s">
        <v>351</v>
      </c>
      <c r="D15" s="22" t="s">
        <v>352</v>
      </c>
      <c r="E15" s="5" t="s">
        <v>353</v>
      </c>
      <c r="F15" s="3">
        <v>8145158491</v>
      </c>
      <c r="G15" s="9">
        <v>43704</v>
      </c>
      <c r="H15" s="9"/>
      <c r="J15" s="22" t="s">
        <v>720</v>
      </c>
      <c r="L15" s="9">
        <v>43712</v>
      </c>
    </row>
    <row r="16" spans="1:18">
      <c r="A16" s="4">
        <v>15</v>
      </c>
      <c r="B16" s="22" t="str">
        <f>_xlfn.TEXTJOIN(" ",,C16,D16)</f>
        <v>Rajal Nivargi</v>
      </c>
      <c r="C16" s="22" t="s">
        <v>363</v>
      </c>
      <c r="D16" s="22" t="s">
        <v>364</v>
      </c>
      <c r="E16" s="5" t="s">
        <v>365</v>
      </c>
      <c r="F16" s="3">
        <v>8148529758</v>
      </c>
      <c r="G16" s="33">
        <v>43708</v>
      </c>
      <c r="H16" s="3"/>
      <c r="I16" s="4"/>
      <c r="J16" s="22" t="s">
        <v>712</v>
      </c>
      <c r="L16" s="9">
        <v>43717</v>
      </c>
      <c r="M16" s="9">
        <v>43724</v>
      </c>
      <c r="O16" s="9"/>
      <c r="P16" s="9"/>
    </row>
    <row r="17" spans="1:20">
      <c r="A17" s="4">
        <v>16</v>
      </c>
      <c r="B17" s="6" t="s">
        <v>721</v>
      </c>
      <c r="C17" s="6" t="s">
        <v>398</v>
      </c>
      <c r="D17" s="6" t="s">
        <v>399</v>
      </c>
      <c r="E17" s="5" t="s">
        <v>400</v>
      </c>
      <c r="F17" s="34" t="s">
        <v>722</v>
      </c>
      <c r="G17" s="26">
        <v>43705</v>
      </c>
      <c r="H17" s="6"/>
      <c r="I17" s="30"/>
      <c r="J17" s="30" t="s">
        <v>711</v>
      </c>
      <c r="L17" s="9">
        <v>43724</v>
      </c>
    </row>
    <row r="18" spans="1:20">
      <c r="A18" s="4">
        <v>17</v>
      </c>
      <c r="B18" s="22" t="s">
        <v>723</v>
      </c>
      <c r="C18" s="22" t="s">
        <v>464</v>
      </c>
      <c r="D18" s="22" t="s">
        <v>465</v>
      </c>
      <c r="E18" s="5" t="s">
        <v>466</v>
      </c>
      <c r="F18" s="34" t="s">
        <v>724</v>
      </c>
      <c r="G18" s="35"/>
      <c r="H18" s="34"/>
      <c r="J18" s="22" t="s">
        <v>712</v>
      </c>
      <c r="L18" s="9">
        <v>43719</v>
      </c>
      <c r="Q18" s="9"/>
      <c r="S18" s="38"/>
      <c r="T18" s="38"/>
    </row>
    <row r="19" spans="1:20">
      <c r="B19" s="22" t="str">
        <f>_xlfn.TEXTJOIN(" ",,C19,D19)</f>
        <v>Murray Imani</v>
      </c>
      <c r="C19" s="22" t="s">
        <v>447</v>
      </c>
      <c r="D19" s="22" t="s">
        <v>448</v>
      </c>
      <c r="E19" s="5" t="s">
        <v>449</v>
      </c>
      <c r="F19" s="3">
        <v>2674244778</v>
      </c>
      <c r="G19" s="9">
        <v>43718</v>
      </c>
      <c r="J19" s="22" t="s">
        <v>711</v>
      </c>
      <c r="L19" s="9">
        <v>43726</v>
      </c>
    </row>
    <row r="20" spans="1:20">
      <c r="B20" s="22" t="str">
        <f>_xlfn.TEXTJOIN(" ",,C20,D20)</f>
        <v>Aaliyah Wyatt</v>
      </c>
      <c r="C20" s="22" t="s">
        <v>444</v>
      </c>
      <c r="D20" s="22" t="s">
        <v>445</v>
      </c>
      <c r="E20" s="5" t="s">
        <v>446</v>
      </c>
      <c r="F20" s="3">
        <v>7173989340</v>
      </c>
    </row>
  </sheetData>
  <autoFilter ref="A1:T18" xr:uid="{A441E8AE-AB4F-4940-84B0-D488F1CE908C}">
    <sortState xmlns:xlrd2="http://schemas.microsoft.com/office/spreadsheetml/2017/richdata2" ref="A2:T18">
      <sortCondition ref="A1:A18"/>
    </sortState>
  </autoFilter>
  <hyperlinks>
    <hyperlink ref="E12" r:id="rId1" xr:uid="{3E7A4F0E-6495-1A4B-BECE-21B587E0685D}"/>
    <hyperlink ref="E5" r:id="rId2" xr:uid="{4F553132-8E24-A448-A4C2-D962AD7C3564}"/>
    <hyperlink ref="E3" r:id="rId3" xr:uid="{94BAE619-7934-204F-934D-58AF9AB8A0B2}"/>
    <hyperlink ref="E6" r:id="rId4" xr:uid="{5749FAA8-56C0-3D46-A4E4-03B6252C8D40}"/>
    <hyperlink ref="E2" r:id="rId5" xr:uid="{2F59330F-F0D9-2441-9C9E-6C8FEBE69B5C}"/>
    <hyperlink ref="E9" r:id="rId6" xr:uid="{D2347DF6-53BB-0149-A89F-8F677EBE6F9A}"/>
    <hyperlink ref="E8" r:id="rId7" xr:uid="{2EC1C118-6E70-9940-8788-7DC45D38B381}"/>
    <hyperlink ref="E11" r:id="rId8" xr:uid="{4F865741-05A0-E349-84B6-4074B3BC79F3}"/>
    <hyperlink ref="E13" r:id="rId9" xr:uid="{797FA3DC-CD0D-AC41-B44A-02CC04D892CB}"/>
    <hyperlink ref="E14" r:id="rId10" xr:uid="{F6FB5DE5-286D-C440-B2CC-57177364E0AE}"/>
    <hyperlink ref="E15" r:id="rId11" xr:uid="{E1A3AEA0-0C91-C44C-BDC0-75647E3BAEF6}"/>
    <hyperlink ref="E16" r:id="rId12" xr:uid="{88EBE1FA-0E0D-294F-BBD7-B9EDF0F44AFF}"/>
    <hyperlink ref="E17" r:id="rId13" display="mailto:vbg5066@psu.edu" xr:uid="{2119759A-B8A4-A644-A228-DB168A8FD0C5}"/>
    <hyperlink ref="E7" r:id="rId14" xr:uid="{D2E0373C-D189-5A40-9B7D-CBC65796792C}"/>
    <hyperlink ref="E18" r:id="rId15" display="mailto:Tcd5156@psu.edu" xr:uid="{4C9DD6AC-1156-1349-AD70-4B274401C06E}"/>
    <hyperlink ref="E19" r:id="rId16" xr:uid="{2BFE2874-FF00-7946-9ED9-B72D1ED01C92}"/>
    <hyperlink ref="E20" r:id="rId17" xr:uid="{F2E3CA88-AF23-6D4B-94E5-7E02440143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6FCA-EF66-B34B-B673-0ECF3FADBDC1}">
  <sheetPr codeName="Sheet1"/>
  <dimension ref="A1:Y46"/>
  <sheetViews>
    <sheetView topLeftCell="A6" workbookViewId="0">
      <selection activeCell="B15" sqref="B15"/>
    </sheetView>
  </sheetViews>
  <sheetFormatPr baseColWidth="10" defaultColWidth="10.83203125" defaultRowHeight="16"/>
  <cols>
    <col min="1" max="1" width="10.83203125" style="22"/>
    <col min="2" max="2" width="16.6640625" style="22" customWidth="1"/>
    <col min="3" max="4" width="10.83203125" style="22"/>
    <col min="5" max="5" width="26.5" style="22" customWidth="1"/>
    <col min="6" max="7" width="20" style="22" customWidth="1"/>
    <col min="8" max="8" width="13.6640625" style="22" customWidth="1"/>
    <col min="9" max="9" width="17.6640625" style="22" customWidth="1"/>
    <col min="10" max="10" width="11.33203125" style="22" customWidth="1"/>
    <col min="11" max="11" width="14.33203125" style="22" customWidth="1"/>
    <col min="12" max="13" width="16.33203125" style="22" customWidth="1"/>
    <col min="14" max="14" width="18.1640625" style="22" customWidth="1"/>
    <col min="15" max="15" width="11.5" style="22" customWidth="1"/>
    <col min="16" max="16" width="17.33203125" style="22" customWidth="1"/>
    <col min="17" max="18" width="21.33203125" style="22" customWidth="1"/>
    <col min="19" max="16384" width="10.83203125" style="22"/>
  </cols>
  <sheetData>
    <row r="1" spans="1:25" s="25" customFormat="1">
      <c r="A1" s="24" t="s">
        <v>696</v>
      </c>
      <c r="B1" s="25" t="s">
        <v>0</v>
      </c>
      <c r="C1" s="25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725</v>
      </c>
      <c r="I1" s="24" t="s">
        <v>697</v>
      </c>
      <c r="J1" s="24" t="s">
        <v>7</v>
      </c>
      <c r="K1" s="24" t="s">
        <v>726</v>
      </c>
      <c r="L1" s="24" t="s">
        <v>698</v>
      </c>
      <c r="M1" s="24" t="s">
        <v>11</v>
      </c>
      <c r="N1" s="24" t="s">
        <v>699</v>
      </c>
      <c r="O1" s="24" t="s">
        <v>700</v>
      </c>
      <c r="P1" s="24" t="s">
        <v>727</v>
      </c>
      <c r="Q1" s="24" t="s">
        <v>728</v>
      </c>
      <c r="R1" s="24" t="s">
        <v>729</v>
      </c>
      <c r="S1" s="24" t="s">
        <v>701</v>
      </c>
      <c r="T1" s="24" t="s">
        <v>730</v>
      </c>
      <c r="U1" s="24" t="s">
        <v>702</v>
      </c>
      <c r="V1" s="24" t="s">
        <v>703</v>
      </c>
      <c r="W1" s="24" t="s">
        <v>704</v>
      </c>
      <c r="X1" s="24" t="s">
        <v>12</v>
      </c>
      <c r="Y1" s="25" t="s">
        <v>731</v>
      </c>
    </row>
    <row r="2" spans="1:25">
      <c r="A2" s="4">
        <v>1</v>
      </c>
      <c r="B2" s="22" t="s">
        <v>33</v>
      </c>
      <c r="C2" s="22" t="s">
        <v>34</v>
      </c>
      <c r="D2" s="22" t="s">
        <v>35</v>
      </c>
      <c r="E2" s="5" t="s">
        <v>36</v>
      </c>
      <c r="F2" s="3">
        <v>7328560626</v>
      </c>
      <c r="G2" s="36">
        <v>24</v>
      </c>
      <c r="H2" s="3" t="s">
        <v>37</v>
      </c>
      <c r="I2" s="26">
        <v>43673</v>
      </c>
      <c r="J2" s="22" t="s">
        <v>38</v>
      </c>
      <c r="K2" s="26" t="s">
        <v>732</v>
      </c>
      <c r="L2" s="22" t="s">
        <v>705</v>
      </c>
      <c r="M2" s="30" t="s">
        <v>1590</v>
      </c>
      <c r="N2" s="22" t="s">
        <v>707</v>
      </c>
      <c r="O2" s="9">
        <v>43691</v>
      </c>
      <c r="P2" s="9"/>
      <c r="Q2" s="9"/>
      <c r="R2" s="9"/>
      <c r="S2" s="9">
        <v>43698</v>
      </c>
      <c r="T2" s="9"/>
      <c r="U2" s="9">
        <v>43741</v>
      </c>
      <c r="X2" s="22" t="s">
        <v>733</v>
      </c>
    </row>
    <row r="3" spans="1:25">
      <c r="A3" s="4">
        <v>2</v>
      </c>
      <c r="B3" s="22" t="s">
        <v>44</v>
      </c>
      <c r="C3" s="22" t="s">
        <v>45</v>
      </c>
      <c r="D3" s="22" t="s">
        <v>46</v>
      </c>
      <c r="E3" s="5" t="s">
        <v>47</v>
      </c>
      <c r="F3" s="3" t="s">
        <v>48</v>
      </c>
      <c r="G3" s="36">
        <v>19</v>
      </c>
      <c r="H3" s="3" t="s">
        <v>37</v>
      </c>
      <c r="I3" s="26">
        <v>43670</v>
      </c>
      <c r="J3" s="22" t="s">
        <v>38</v>
      </c>
      <c r="K3" s="26" t="s">
        <v>732</v>
      </c>
      <c r="L3" s="22" t="s">
        <v>705</v>
      </c>
      <c r="M3" s="30" t="s">
        <v>1590</v>
      </c>
      <c r="N3" s="22" t="s">
        <v>707</v>
      </c>
      <c r="O3" s="9">
        <v>43684</v>
      </c>
      <c r="P3" s="9"/>
      <c r="Q3" s="9"/>
      <c r="R3" s="9"/>
      <c r="S3" s="9">
        <v>43686</v>
      </c>
      <c r="T3" s="9"/>
      <c r="U3" s="9">
        <v>43766</v>
      </c>
      <c r="X3" s="22" t="s">
        <v>733</v>
      </c>
    </row>
    <row r="4" spans="1:25">
      <c r="A4" s="4">
        <v>3</v>
      </c>
      <c r="B4" s="22" t="s">
        <v>50</v>
      </c>
      <c r="C4" s="22" t="s">
        <v>51</v>
      </c>
      <c r="D4" s="22" t="s">
        <v>52</v>
      </c>
      <c r="E4" s="6" t="s">
        <v>53</v>
      </c>
      <c r="F4" s="3">
        <v>6073398123</v>
      </c>
      <c r="G4" s="36">
        <v>25</v>
      </c>
      <c r="H4" s="3" t="s">
        <v>37</v>
      </c>
      <c r="I4" s="26">
        <v>43676</v>
      </c>
      <c r="J4" s="22" t="s">
        <v>54</v>
      </c>
      <c r="K4" s="26" t="s">
        <v>734</v>
      </c>
      <c r="L4" s="22" t="s">
        <v>708</v>
      </c>
      <c r="M4" s="22" t="s">
        <v>54</v>
      </c>
      <c r="N4" s="22" t="s">
        <v>707</v>
      </c>
      <c r="O4" s="9">
        <v>43704</v>
      </c>
      <c r="P4" s="9"/>
      <c r="Q4" s="9"/>
      <c r="R4" s="9"/>
    </row>
    <row r="5" spans="1:25">
      <c r="A5" s="4">
        <v>4</v>
      </c>
      <c r="B5" s="1" t="s">
        <v>55</v>
      </c>
      <c r="C5" s="1" t="s">
        <v>56</v>
      </c>
      <c r="D5" s="1" t="s">
        <v>57</v>
      </c>
      <c r="E5" s="2" t="s">
        <v>58</v>
      </c>
      <c r="F5" s="3">
        <v>3013106934</v>
      </c>
      <c r="G5" s="36">
        <v>21</v>
      </c>
      <c r="H5" s="3" t="s">
        <v>37</v>
      </c>
      <c r="I5" s="26">
        <v>43672</v>
      </c>
      <c r="J5" s="22" t="s">
        <v>38</v>
      </c>
      <c r="K5" s="26" t="s">
        <v>732</v>
      </c>
      <c r="L5" s="22" t="s">
        <v>705</v>
      </c>
      <c r="M5" s="22" t="s">
        <v>1590</v>
      </c>
      <c r="N5" s="22" t="s">
        <v>707</v>
      </c>
      <c r="O5" s="9">
        <v>43705</v>
      </c>
      <c r="P5" s="9"/>
      <c r="Q5" s="9">
        <v>43711</v>
      </c>
      <c r="R5" s="9"/>
      <c r="S5" s="9">
        <v>43720</v>
      </c>
      <c r="T5" s="9"/>
      <c r="U5" s="9">
        <v>43740</v>
      </c>
      <c r="X5" s="22" t="s">
        <v>733</v>
      </c>
    </row>
    <row r="6" spans="1:25">
      <c r="A6" s="4">
        <v>5</v>
      </c>
      <c r="B6" s="22" t="s">
        <v>59</v>
      </c>
      <c r="C6" s="22" t="s">
        <v>60</v>
      </c>
      <c r="D6" s="22" t="s">
        <v>61</v>
      </c>
      <c r="E6" s="5" t="s">
        <v>62</v>
      </c>
      <c r="F6" s="3">
        <v>8143604025</v>
      </c>
      <c r="G6" s="36">
        <v>19</v>
      </c>
      <c r="H6" s="3" t="s">
        <v>63</v>
      </c>
      <c r="I6" s="26">
        <v>43690</v>
      </c>
      <c r="J6" s="22" t="s">
        <v>38</v>
      </c>
      <c r="K6" s="26" t="s">
        <v>38</v>
      </c>
      <c r="L6" s="22" t="s">
        <v>705</v>
      </c>
      <c r="M6" s="20" t="s">
        <v>706</v>
      </c>
      <c r="N6" s="32" t="s">
        <v>736</v>
      </c>
      <c r="O6" s="9">
        <v>43693</v>
      </c>
      <c r="P6" s="9"/>
      <c r="Q6" s="9"/>
      <c r="R6" s="9"/>
      <c r="S6" s="9">
        <v>43714</v>
      </c>
      <c r="T6" s="9"/>
      <c r="X6" s="22" t="s">
        <v>733</v>
      </c>
    </row>
    <row r="7" spans="1:25">
      <c r="A7" s="22">
        <v>6</v>
      </c>
      <c r="B7" s="22" t="s">
        <v>737</v>
      </c>
      <c r="C7" s="22" t="s">
        <v>480</v>
      </c>
      <c r="D7" s="22" t="s">
        <v>481</v>
      </c>
      <c r="E7" s="5" t="s">
        <v>482</v>
      </c>
      <c r="F7" s="3">
        <v>4848090919</v>
      </c>
      <c r="G7" s="36">
        <v>19</v>
      </c>
      <c r="H7" s="3" t="s">
        <v>63</v>
      </c>
      <c r="J7" s="22" t="s">
        <v>70</v>
      </c>
      <c r="M7" s="22" t="s">
        <v>738</v>
      </c>
      <c r="N7" s="32" t="s">
        <v>739</v>
      </c>
      <c r="O7" s="9">
        <v>43727</v>
      </c>
      <c r="Q7" s="9">
        <v>43741</v>
      </c>
      <c r="X7" s="22" t="s">
        <v>740</v>
      </c>
    </row>
    <row r="8" spans="1:25">
      <c r="A8" s="4">
        <v>7</v>
      </c>
      <c r="B8" s="22" t="str">
        <f>_xlfn.TEXTJOIN(" ",,C8,D8)</f>
        <v>Kyle Snyder</v>
      </c>
      <c r="C8" s="22" t="s">
        <v>71</v>
      </c>
      <c r="D8" s="22" t="s">
        <v>72</v>
      </c>
      <c r="E8" s="5" t="s">
        <v>73</v>
      </c>
      <c r="F8" s="3">
        <v>7173719399</v>
      </c>
      <c r="G8" s="36">
        <v>23</v>
      </c>
      <c r="H8" s="3" t="s">
        <v>63</v>
      </c>
      <c r="I8" s="26">
        <v>43686</v>
      </c>
      <c r="J8" s="22" t="s">
        <v>38</v>
      </c>
      <c r="K8" s="26" t="s">
        <v>732</v>
      </c>
      <c r="L8" s="22" t="s">
        <v>705</v>
      </c>
      <c r="M8" s="22" t="s">
        <v>1801</v>
      </c>
      <c r="N8" s="32" t="s">
        <v>707</v>
      </c>
      <c r="O8" s="9">
        <v>43692</v>
      </c>
      <c r="P8" s="9"/>
      <c r="Q8" s="9">
        <v>43704</v>
      </c>
      <c r="R8" s="9">
        <v>43727</v>
      </c>
      <c r="S8" s="9">
        <v>43727</v>
      </c>
    </row>
    <row r="9" spans="1:25">
      <c r="A9" s="4">
        <v>8</v>
      </c>
      <c r="B9" s="22" t="str">
        <f>_xlfn.TEXTJOIN(" ",,C9,D9)</f>
        <v>Haley Brown</v>
      </c>
      <c r="C9" s="22" t="s">
        <v>75</v>
      </c>
      <c r="D9" s="22" t="s">
        <v>76</v>
      </c>
      <c r="E9" s="5" t="s">
        <v>77</v>
      </c>
      <c r="F9" s="3">
        <v>8148806916</v>
      </c>
      <c r="G9" s="36">
        <v>22</v>
      </c>
      <c r="H9" s="3" t="s">
        <v>37</v>
      </c>
      <c r="I9" s="26">
        <v>43682</v>
      </c>
      <c r="J9" s="22" t="s">
        <v>38</v>
      </c>
      <c r="K9" s="26" t="s">
        <v>38</v>
      </c>
      <c r="L9" s="22" t="s">
        <v>705</v>
      </c>
      <c r="M9" s="22" t="s">
        <v>706</v>
      </c>
      <c r="N9" s="32" t="s">
        <v>736</v>
      </c>
      <c r="O9" s="9">
        <v>43692</v>
      </c>
      <c r="P9" s="9"/>
      <c r="Q9" s="9">
        <v>43718</v>
      </c>
      <c r="R9" s="9"/>
      <c r="S9" s="9">
        <v>43718</v>
      </c>
      <c r="T9" s="9"/>
      <c r="X9" s="22" t="s">
        <v>733</v>
      </c>
    </row>
    <row r="10" spans="1:25">
      <c r="A10" s="4">
        <v>9</v>
      </c>
      <c r="B10" s="22" t="str">
        <f>_xlfn.TEXTJOIN(" ",,C10,D10)</f>
        <v>Jessica Roussey</v>
      </c>
      <c r="C10" s="22" t="s">
        <v>78</v>
      </c>
      <c r="D10" s="18" t="s">
        <v>79</v>
      </c>
      <c r="E10" s="19" t="s">
        <v>80</v>
      </c>
      <c r="F10" s="3" t="s">
        <v>715</v>
      </c>
      <c r="G10" s="36">
        <v>25</v>
      </c>
      <c r="H10" s="3" t="s">
        <v>37</v>
      </c>
      <c r="I10" s="26">
        <v>43684</v>
      </c>
      <c r="J10" s="22" t="s">
        <v>38</v>
      </c>
      <c r="K10" s="26" t="s">
        <v>732</v>
      </c>
      <c r="L10" s="22" t="s">
        <v>705</v>
      </c>
      <c r="M10" s="22" t="s">
        <v>735</v>
      </c>
      <c r="N10" s="32" t="s">
        <v>707</v>
      </c>
      <c r="O10" s="9">
        <v>43699</v>
      </c>
      <c r="P10" s="9"/>
      <c r="Q10" s="9">
        <v>43705</v>
      </c>
      <c r="R10" s="9">
        <v>43725</v>
      </c>
      <c r="S10" s="9">
        <v>43725</v>
      </c>
      <c r="T10" s="9"/>
      <c r="X10" s="22" t="s">
        <v>733</v>
      </c>
    </row>
    <row r="11" spans="1:25">
      <c r="A11" s="4">
        <v>10</v>
      </c>
      <c r="B11" s="22" t="str">
        <f>_xlfn.TEXTJOIN(" ",,C11,D11)</f>
        <v>Avery Everett</v>
      </c>
      <c r="C11" s="20" t="s">
        <v>81</v>
      </c>
      <c r="D11" s="20" t="s">
        <v>82</v>
      </c>
      <c r="E11" s="21" t="s">
        <v>83</v>
      </c>
      <c r="F11" s="20" t="s">
        <v>84</v>
      </c>
      <c r="G11" s="20">
        <v>25</v>
      </c>
      <c r="H11" s="20" t="s">
        <v>37</v>
      </c>
      <c r="I11" s="26">
        <v>43689</v>
      </c>
      <c r="J11" s="20" t="s">
        <v>70</v>
      </c>
      <c r="K11" s="26" t="s">
        <v>732</v>
      </c>
      <c r="L11" s="20" t="s">
        <v>705</v>
      </c>
      <c r="M11" s="22" t="s">
        <v>706</v>
      </c>
      <c r="N11" s="32" t="s">
        <v>707</v>
      </c>
      <c r="O11" s="9">
        <v>43696</v>
      </c>
      <c r="P11" s="9" t="s">
        <v>741</v>
      </c>
      <c r="Q11" s="9">
        <v>43718</v>
      </c>
      <c r="R11" s="9">
        <v>43725</v>
      </c>
      <c r="S11" s="9">
        <v>43740</v>
      </c>
      <c r="Y11" s="22" t="s">
        <v>742</v>
      </c>
    </row>
    <row r="12" spans="1:25">
      <c r="A12" s="4">
        <v>11</v>
      </c>
      <c r="B12" s="22" t="s">
        <v>86</v>
      </c>
      <c r="C12" s="27" t="s">
        <v>87</v>
      </c>
      <c r="D12" s="22" t="s">
        <v>88</v>
      </c>
      <c r="E12" s="5" t="s">
        <v>89</v>
      </c>
      <c r="F12" s="3">
        <v>2676151897</v>
      </c>
      <c r="G12" s="36">
        <v>21</v>
      </c>
      <c r="H12" s="3" t="s">
        <v>37</v>
      </c>
      <c r="I12" s="26">
        <v>43681</v>
      </c>
      <c r="J12" s="22" t="s">
        <v>38</v>
      </c>
      <c r="K12" s="26" t="s">
        <v>732</v>
      </c>
      <c r="L12" s="20" t="s">
        <v>705</v>
      </c>
      <c r="M12" s="22" t="s">
        <v>706</v>
      </c>
      <c r="N12" s="32" t="s">
        <v>707</v>
      </c>
      <c r="O12" s="9">
        <v>43706</v>
      </c>
      <c r="P12" s="9"/>
      <c r="Q12" s="9">
        <v>43706</v>
      </c>
      <c r="R12" s="9"/>
      <c r="S12" s="9">
        <v>43735</v>
      </c>
      <c r="T12" s="9" t="s">
        <v>743</v>
      </c>
    </row>
    <row r="13" spans="1:25">
      <c r="A13" s="4">
        <v>12</v>
      </c>
      <c r="B13" s="27" t="s">
        <v>90</v>
      </c>
      <c r="C13" s="20" t="s">
        <v>91</v>
      </c>
      <c r="D13" s="22" t="s">
        <v>92</v>
      </c>
      <c r="E13" s="5" t="s">
        <v>93</v>
      </c>
      <c r="F13" s="3" t="s">
        <v>94</v>
      </c>
      <c r="G13" s="36">
        <v>22</v>
      </c>
      <c r="H13" s="3" t="s">
        <v>63</v>
      </c>
      <c r="I13" s="26">
        <v>43691</v>
      </c>
      <c r="J13" s="22" t="s">
        <v>38</v>
      </c>
      <c r="K13" s="26" t="s">
        <v>732</v>
      </c>
      <c r="L13" s="22" t="s">
        <v>705</v>
      </c>
      <c r="M13" s="22" t="s">
        <v>706</v>
      </c>
      <c r="N13" s="22" t="s">
        <v>707</v>
      </c>
      <c r="O13" s="9">
        <v>43704</v>
      </c>
      <c r="P13" s="9"/>
      <c r="Q13" s="9">
        <v>43711</v>
      </c>
      <c r="R13" s="9">
        <v>43713</v>
      </c>
      <c r="S13" s="9">
        <v>43713</v>
      </c>
      <c r="T13" s="9"/>
      <c r="X13" s="22" t="s">
        <v>733</v>
      </c>
    </row>
    <row r="14" spans="1:25">
      <c r="A14" s="4">
        <v>13</v>
      </c>
      <c r="B14" s="22" t="str">
        <f>_xlfn.TEXTJOIN(" ",,C14,D14)</f>
        <v>Kiarat Vidal</v>
      </c>
      <c r="C14" s="20" t="s">
        <v>280</v>
      </c>
      <c r="D14" s="28" t="s">
        <v>281</v>
      </c>
      <c r="E14" s="21" t="s">
        <v>282</v>
      </c>
      <c r="F14" s="20"/>
      <c r="G14" s="20">
        <v>19</v>
      </c>
      <c r="H14" s="20" t="s">
        <v>37</v>
      </c>
      <c r="I14" s="29"/>
      <c r="J14" s="22" t="s">
        <v>38</v>
      </c>
      <c r="K14" s="29" t="s">
        <v>732</v>
      </c>
      <c r="L14" s="20" t="s">
        <v>705</v>
      </c>
      <c r="M14" s="22" t="s">
        <v>706</v>
      </c>
      <c r="N14" s="4" t="s">
        <v>707</v>
      </c>
      <c r="O14" s="9">
        <v>43710</v>
      </c>
      <c r="P14" s="9"/>
      <c r="Q14" s="9">
        <v>43720</v>
      </c>
      <c r="R14" s="9"/>
      <c r="S14" s="9">
        <v>43728</v>
      </c>
    </row>
    <row r="15" spans="1:25">
      <c r="A15" s="4">
        <v>14</v>
      </c>
      <c r="B15" s="22" t="s">
        <v>744</v>
      </c>
      <c r="C15" s="22" t="s">
        <v>360</v>
      </c>
      <c r="D15" s="22" t="s">
        <v>361</v>
      </c>
      <c r="E15" s="22" t="s">
        <v>362</v>
      </c>
      <c r="F15" s="3">
        <v>5708773120</v>
      </c>
      <c r="G15" s="22">
        <v>20</v>
      </c>
      <c r="H15" s="22" t="s">
        <v>37</v>
      </c>
      <c r="J15" s="22" t="s">
        <v>38</v>
      </c>
      <c r="M15" s="22" t="s">
        <v>706</v>
      </c>
      <c r="N15" s="4" t="s">
        <v>739</v>
      </c>
      <c r="O15" s="9">
        <v>43727</v>
      </c>
      <c r="S15" s="9">
        <v>43768</v>
      </c>
      <c r="T15" s="22" t="s">
        <v>1662</v>
      </c>
    </row>
    <row r="16" spans="1:25">
      <c r="A16" s="4">
        <v>15</v>
      </c>
      <c r="B16" s="22" t="str">
        <f>_xlfn.TEXTJOIN(" ",,C16,D16)</f>
        <v>Rajal Nivargi</v>
      </c>
      <c r="C16" s="22" t="s">
        <v>363</v>
      </c>
      <c r="D16" s="22" t="s">
        <v>364</v>
      </c>
      <c r="E16" s="5" t="s">
        <v>365</v>
      </c>
      <c r="F16" s="3">
        <v>8148529758</v>
      </c>
      <c r="G16" s="36">
        <v>22</v>
      </c>
      <c r="H16" s="3" t="s">
        <v>37</v>
      </c>
      <c r="I16" s="33">
        <v>43708</v>
      </c>
      <c r="J16" s="22" t="s">
        <v>70</v>
      </c>
      <c r="K16" s="29" t="s">
        <v>732</v>
      </c>
      <c r="L16" s="4" t="s">
        <v>705</v>
      </c>
      <c r="M16" s="22" t="s">
        <v>706</v>
      </c>
      <c r="N16" s="4" t="s">
        <v>707</v>
      </c>
      <c r="O16" s="9">
        <v>43717</v>
      </c>
      <c r="P16" s="9"/>
      <c r="Q16" s="9">
        <v>43724</v>
      </c>
      <c r="R16" s="9"/>
      <c r="S16" s="9">
        <v>43724</v>
      </c>
      <c r="T16" s="9"/>
      <c r="X16" s="22" t="s">
        <v>733</v>
      </c>
    </row>
    <row r="17" spans="1:21">
      <c r="A17" s="4">
        <v>16</v>
      </c>
      <c r="B17" s="6" t="s">
        <v>721</v>
      </c>
      <c r="C17" s="6" t="s">
        <v>398</v>
      </c>
      <c r="D17" s="6" t="s">
        <v>399</v>
      </c>
      <c r="E17" s="5" t="s">
        <v>400</v>
      </c>
      <c r="F17" s="34" t="s">
        <v>722</v>
      </c>
      <c r="G17" s="36">
        <v>18</v>
      </c>
      <c r="H17" s="3" t="s">
        <v>37</v>
      </c>
      <c r="I17" s="35">
        <v>18</v>
      </c>
      <c r="J17" s="22" t="s">
        <v>70</v>
      </c>
      <c r="K17" s="29" t="s">
        <v>70</v>
      </c>
      <c r="L17" s="6" t="s">
        <v>705</v>
      </c>
      <c r="M17" s="30" t="s">
        <v>1802</v>
      </c>
      <c r="N17" s="4" t="s">
        <v>736</v>
      </c>
      <c r="O17" s="9">
        <v>43724</v>
      </c>
      <c r="S17" s="9">
        <v>43734</v>
      </c>
      <c r="U17" s="9">
        <v>43746</v>
      </c>
    </row>
    <row r="18" spans="1:21">
      <c r="A18" s="4">
        <v>17</v>
      </c>
      <c r="B18" s="22" t="s">
        <v>723</v>
      </c>
      <c r="C18" s="22" t="s">
        <v>464</v>
      </c>
      <c r="D18" s="22" t="s">
        <v>465</v>
      </c>
      <c r="E18" s="5" t="s">
        <v>466</v>
      </c>
      <c r="F18" s="34" t="s">
        <v>724</v>
      </c>
      <c r="G18" s="35">
        <v>21</v>
      </c>
      <c r="H18" s="34" t="s">
        <v>37</v>
      </c>
      <c r="J18" s="22" t="s">
        <v>70</v>
      </c>
      <c r="L18" s="9"/>
      <c r="M18" s="22" t="s">
        <v>738</v>
      </c>
      <c r="N18" s="4" t="s">
        <v>739</v>
      </c>
      <c r="O18" s="9">
        <v>43719</v>
      </c>
      <c r="P18" s="22" t="s">
        <v>745</v>
      </c>
      <c r="Q18" s="9">
        <v>43725</v>
      </c>
      <c r="S18" s="38"/>
      <c r="T18" s="38"/>
      <c r="U18" s="38"/>
    </row>
    <row r="19" spans="1:21">
      <c r="A19" s="4">
        <v>18</v>
      </c>
      <c r="B19" s="22" t="str">
        <f>_xlfn.TEXTJOIN(" ",,C19,D19)</f>
        <v>Aaliyah Wyatt</v>
      </c>
      <c r="C19" s="22" t="s">
        <v>444</v>
      </c>
      <c r="D19" s="22" t="s">
        <v>445</v>
      </c>
      <c r="E19" s="5" t="s">
        <v>446</v>
      </c>
      <c r="F19" s="3">
        <v>7173989340</v>
      </c>
      <c r="G19" s="22">
        <v>20</v>
      </c>
      <c r="H19" s="22" t="s">
        <v>37</v>
      </c>
      <c r="J19" s="22" t="s">
        <v>38</v>
      </c>
      <c r="K19" s="29" t="s">
        <v>38</v>
      </c>
      <c r="L19" s="22" t="s">
        <v>705</v>
      </c>
      <c r="M19" s="22" t="s">
        <v>706</v>
      </c>
      <c r="N19" s="4" t="s">
        <v>736</v>
      </c>
      <c r="O19" s="9">
        <v>43727</v>
      </c>
      <c r="Q19" s="9">
        <v>43734</v>
      </c>
      <c r="S19" s="9">
        <v>43748</v>
      </c>
    </row>
    <row r="20" spans="1:21">
      <c r="A20" s="4">
        <v>19</v>
      </c>
      <c r="B20" s="22" t="s">
        <v>746</v>
      </c>
      <c r="C20" s="22" t="s">
        <v>454</v>
      </c>
      <c r="D20" s="22" t="s">
        <v>455</v>
      </c>
      <c r="E20" s="5" t="s">
        <v>456</v>
      </c>
      <c r="F20" s="3">
        <v>9177144776</v>
      </c>
      <c r="G20" s="22">
        <v>18</v>
      </c>
      <c r="H20" s="22" t="s">
        <v>37</v>
      </c>
      <c r="J20" s="22" t="s">
        <v>70</v>
      </c>
      <c r="K20" s="22" t="s">
        <v>734</v>
      </c>
      <c r="L20" s="22" t="s">
        <v>708</v>
      </c>
      <c r="M20" s="22" t="s">
        <v>54</v>
      </c>
      <c r="N20" s="4" t="s">
        <v>707</v>
      </c>
      <c r="O20" s="9">
        <v>43720</v>
      </c>
      <c r="Q20" s="9">
        <v>43731</v>
      </c>
    </row>
    <row r="21" spans="1:21">
      <c r="A21" s="22">
        <v>20</v>
      </c>
      <c r="B21" s="22" t="s">
        <v>747</v>
      </c>
      <c r="C21" s="22" t="s">
        <v>508</v>
      </c>
      <c r="D21" s="22" t="s">
        <v>485</v>
      </c>
      <c r="E21" s="5" t="s">
        <v>509</v>
      </c>
      <c r="F21" s="8" t="s">
        <v>748</v>
      </c>
      <c r="G21" s="22">
        <v>20</v>
      </c>
      <c r="H21" s="22" t="s">
        <v>63</v>
      </c>
      <c r="J21" s="22" t="s">
        <v>131</v>
      </c>
      <c r="K21" s="22" t="s">
        <v>131</v>
      </c>
      <c r="L21" s="22" t="s">
        <v>705</v>
      </c>
      <c r="M21" s="22" t="s">
        <v>706</v>
      </c>
      <c r="N21" s="4" t="s">
        <v>736</v>
      </c>
      <c r="O21" s="9">
        <v>43728</v>
      </c>
      <c r="S21" s="9">
        <v>43742</v>
      </c>
    </row>
    <row r="22" spans="1:21">
      <c r="A22" s="4">
        <v>21</v>
      </c>
      <c r="B22" s="55" t="str">
        <f>_xlfn.TEXTJOIN(" ",,C22,D22)</f>
        <v>Shreyas Sundar </v>
      </c>
      <c r="C22" s="6" t="s">
        <v>376</v>
      </c>
      <c r="D22" s="32" t="s">
        <v>377</v>
      </c>
      <c r="E22" s="56" t="s">
        <v>378</v>
      </c>
      <c r="F22" s="57">
        <v>8145718533</v>
      </c>
      <c r="G22" s="36">
        <v>19</v>
      </c>
      <c r="H22" s="57" t="s">
        <v>63</v>
      </c>
      <c r="J22" s="22" t="s">
        <v>70</v>
      </c>
      <c r="K22" s="22" t="s">
        <v>70</v>
      </c>
      <c r="M22" s="22" t="s">
        <v>706</v>
      </c>
      <c r="N22" s="4" t="s">
        <v>736</v>
      </c>
      <c r="O22" s="9">
        <v>43732</v>
      </c>
      <c r="Q22" s="9">
        <v>43734</v>
      </c>
      <c r="S22" s="9">
        <v>43741</v>
      </c>
    </row>
    <row r="23" spans="1:21">
      <c r="A23" s="4">
        <v>22</v>
      </c>
      <c r="B23" s="53" t="str">
        <f>_xlfn.TEXTJOIN(" ",,C23,D23)</f>
        <v>Chenyin Zhang</v>
      </c>
      <c r="C23" s="22" t="s">
        <v>484</v>
      </c>
      <c r="D23" s="22" t="s">
        <v>485</v>
      </c>
      <c r="E23" s="5" t="s">
        <v>486</v>
      </c>
      <c r="F23" s="3">
        <v>9179741232</v>
      </c>
      <c r="G23" s="36">
        <v>21</v>
      </c>
      <c r="H23" s="3" t="s">
        <v>63</v>
      </c>
      <c r="J23" s="22" t="s">
        <v>54</v>
      </c>
      <c r="K23" s="22" t="s">
        <v>734</v>
      </c>
      <c r="L23" s="22" t="s">
        <v>708</v>
      </c>
      <c r="M23" s="22" t="s">
        <v>706</v>
      </c>
      <c r="N23" s="4" t="s">
        <v>707</v>
      </c>
      <c r="O23" s="9">
        <v>43732</v>
      </c>
      <c r="S23" s="9">
        <v>43755</v>
      </c>
      <c r="T23" s="22" t="s">
        <v>749</v>
      </c>
    </row>
    <row r="24" spans="1:21">
      <c r="A24" s="4">
        <v>23</v>
      </c>
      <c r="B24" s="53" t="str">
        <f>_xlfn.TEXTJOIN(" ",,C24,D24)</f>
        <v>Vadim Tanygin</v>
      </c>
      <c r="C24" s="22" t="s">
        <v>488</v>
      </c>
      <c r="D24" s="22" t="s">
        <v>489</v>
      </c>
      <c r="E24" s="5" t="s">
        <v>490</v>
      </c>
      <c r="F24" s="3">
        <v>4844015032</v>
      </c>
      <c r="G24" s="36">
        <v>25</v>
      </c>
      <c r="H24" s="3" t="s">
        <v>63</v>
      </c>
      <c r="J24" s="22" t="s">
        <v>38</v>
      </c>
      <c r="K24" s="22" t="s">
        <v>732</v>
      </c>
      <c r="M24" s="22" t="s">
        <v>706</v>
      </c>
      <c r="N24" s="4" t="s">
        <v>707</v>
      </c>
      <c r="O24" s="9">
        <v>43733</v>
      </c>
      <c r="Q24" s="9">
        <v>43738</v>
      </c>
      <c r="S24" s="9">
        <v>43738</v>
      </c>
    </row>
    <row r="25" spans="1:21">
      <c r="A25" s="4">
        <v>24</v>
      </c>
      <c r="B25" s="22" t="str">
        <f>_xlfn.TEXTJOIN(" ",,C25,D25)</f>
        <v>Murray Imani</v>
      </c>
      <c r="C25" s="22" t="s">
        <v>447</v>
      </c>
      <c r="D25" s="22" t="s">
        <v>448</v>
      </c>
      <c r="E25" s="5" t="s">
        <v>449</v>
      </c>
      <c r="F25" s="3">
        <v>2674244778</v>
      </c>
      <c r="G25" s="38">
        <v>20</v>
      </c>
      <c r="H25" s="34" t="s">
        <v>37</v>
      </c>
      <c r="I25" s="35"/>
      <c r="J25" s="35" t="s">
        <v>70</v>
      </c>
      <c r="K25" s="26" t="s">
        <v>732</v>
      </c>
      <c r="L25" s="6"/>
      <c r="M25" s="6" t="s">
        <v>706</v>
      </c>
      <c r="N25" s="6" t="s">
        <v>707</v>
      </c>
      <c r="O25" s="9">
        <v>43738</v>
      </c>
      <c r="P25" s="22" t="s">
        <v>741</v>
      </c>
      <c r="Q25" s="9">
        <v>43754</v>
      </c>
      <c r="S25" s="9">
        <v>43761</v>
      </c>
    </row>
    <row r="26" spans="1:21">
      <c r="A26" s="4">
        <v>25</v>
      </c>
      <c r="B26" s="53" t="s">
        <v>514</v>
      </c>
      <c r="C26" s="22" t="s">
        <v>750</v>
      </c>
      <c r="D26" s="22" t="s">
        <v>751</v>
      </c>
      <c r="E26" s="6" t="s">
        <v>517</v>
      </c>
      <c r="F26" s="22" t="s">
        <v>752</v>
      </c>
      <c r="G26" s="36">
        <v>18</v>
      </c>
      <c r="H26" s="3" t="s">
        <v>37</v>
      </c>
      <c r="J26" s="22" t="s">
        <v>70</v>
      </c>
      <c r="K26" s="22" t="s">
        <v>70</v>
      </c>
      <c r="L26" s="22" t="s">
        <v>705</v>
      </c>
      <c r="M26" s="22" t="s">
        <v>710</v>
      </c>
      <c r="N26" s="4" t="s">
        <v>736</v>
      </c>
      <c r="O26" s="9">
        <v>43739</v>
      </c>
      <c r="S26" s="9">
        <v>43766</v>
      </c>
    </row>
    <row r="27" spans="1:21">
      <c r="A27" s="4">
        <v>26</v>
      </c>
      <c r="B27" s="22" t="s">
        <v>753</v>
      </c>
      <c r="C27" s="22" t="s">
        <v>754</v>
      </c>
      <c r="D27" s="22" t="s">
        <v>505</v>
      </c>
      <c r="E27" s="5" t="s">
        <v>506</v>
      </c>
      <c r="F27" s="3">
        <v>8145740193</v>
      </c>
      <c r="G27" s="36">
        <v>22</v>
      </c>
      <c r="H27" s="3" t="s">
        <v>63</v>
      </c>
      <c r="J27" s="22" t="s">
        <v>38</v>
      </c>
      <c r="K27" s="22" t="s">
        <v>38</v>
      </c>
      <c r="L27" s="22" t="s">
        <v>705</v>
      </c>
      <c r="M27" s="22" t="s">
        <v>706</v>
      </c>
      <c r="N27" s="22" t="s">
        <v>736</v>
      </c>
      <c r="O27" s="9">
        <v>43740</v>
      </c>
      <c r="S27" s="9">
        <v>43747</v>
      </c>
    </row>
    <row r="28" spans="1:21">
      <c r="A28" s="4">
        <v>27</v>
      </c>
      <c r="B28" s="53" t="str">
        <f>_xlfn.TEXTJOIN(" ",,C28,D28)</f>
        <v>Alyssa Hanford</v>
      </c>
      <c r="C28" s="22" t="s">
        <v>567</v>
      </c>
      <c r="D28" s="22" t="s">
        <v>568</v>
      </c>
      <c r="E28" s="5" t="s">
        <v>569</v>
      </c>
      <c r="F28" s="22">
        <v>7076076147</v>
      </c>
      <c r="G28" s="36">
        <v>19</v>
      </c>
      <c r="H28" s="3" t="s">
        <v>37</v>
      </c>
      <c r="J28" s="22" t="s">
        <v>70</v>
      </c>
      <c r="K28" s="22" t="s">
        <v>70</v>
      </c>
      <c r="L28" s="22" t="s">
        <v>705</v>
      </c>
      <c r="M28" s="22" t="s">
        <v>706</v>
      </c>
      <c r="N28" s="4" t="s">
        <v>736</v>
      </c>
      <c r="O28" s="9">
        <v>43742</v>
      </c>
      <c r="Q28" s="9">
        <v>43749</v>
      </c>
    </row>
    <row r="29" spans="1:21">
      <c r="A29" s="22">
        <v>28</v>
      </c>
      <c r="B29" s="53" t="str">
        <f>_xlfn.TEXTJOIN(" ",,C29,D29)</f>
        <v>Stacy Nelson</v>
      </c>
      <c r="C29" s="22" t="s">
        <v>338</v>
      </c>
      <c r="D29" s="22" t="s">
        <v>530</v>
      </c>
      <c r="E29" s="5" t="s">
        <v>531</v>
      </c>
      <c r="F29" s="3">
        <v>9785012265</v>
      </c>
      <c r="G29" s="36">
        <v>21</v>
      </c>
      <c r="H29" s="3" t="s">
        <v>37</v>
      </c>
      <c r="J29" s="22" t="s">
        <v>38</v>
      </c>
      <c r="K29" s="22" t="s">
        <v>732</v>
      </c>
      <c r="L29" s="22" t="s">
        <v>705</v>
      </c>
      <c r="M29" s="22" t="s">
        <v>710</v>
      </c>
      <c r="N29" s="4" t="s">
        <v>707</v>
      </c>
      <c r="O29" s="9">
        <v>43749</v>
      </c>
      <c r="Q29" s="9">
        <v>43763</v>
      </c>
      <c r="S29" s="9">
        <v>43773</v>
      </c>
    </row>
    <row r="30" spans="1:21">
      <c r="A30" s="22">
        <v>29</v>
      </c>
      <c r="B30" s="53" t="str">
        <f>_xlfn.TEXTJOIN(" ",,C30,D30)</f>
        <v>Alexa Plisiewicz</v>
      </c>
      <c r="C30" s="22" t="s">
        <v>600</v>
      </c>
      <c r="D30" s="22" t="s">
        <v>601</v>
      </c>
      <c r="E30" s="5" t="s">
        <v>602</v>
      </c>
      <c r="F30" s="3">
        <v>5708983924</v>
      </c>
      <c r="G30" s="36">
        <v>20</v>
      </c>
      <c r="H30" s="3" t="s">
        <v>37</v>
      </c>
      <c r="I30" s="4"/>
      <c r="J30" s="22" t="s">
        <v>70</v>
      </c>
      <c r="M30" s="22" t="s">
        <v>711</v>
      </c>
      <c r="N30" s="4" t="s">
        <v>739</v>
      </c>
      <c r="O30" s="9">
        <v>43749</v>
      </c>
    </row>
    <row r="31" spans="1:21">
      <c r="A31" s="22">
        <v>30</v>
      </c>
      <c r="B31" s="53" t="str">
        <f>_xlfn.TEXTJOIN(" ",,C31,D31)</f>
        <v>Maria Alvarez</v>
      </c>
      <c r="C31" s="22" t="s">
        <v>593</v>
      </c>
      <c r="D31" s="22" t="s">
        <v>594</v>
      </c>
      <c r="E31" s="5" t="s">
        <v>595</v>
      </c>
      <c r="F31" s="8" t="s">
        <v>755</v>
      </c>
      <c r="G31" s="36">
        <v>18</v>
      </c>
      <c r="H31" s="3" t="s">
        <v>37</v>
      </c>
      <c r="I31" s="9">
        <v>43738</v>
      </c>
      <c r="J31" s="22" t="s">
        <v>70</v>
      </c>
      <c r="K31" s="22" t="s">
        <v>732</v>
      </c>
      <c r="L31" s="22" t="s">
        <v>705</v>
      </c>
      <c r="M31" s="22" t="s">
        <v>706</v>
      </c>
      <c r="N31" s="4" t="s">
        <v>707</v>
      </c>
      <c r="O31" s="9">
        <v>43753</v>
      </c>
      <c r="Q31" s="9">
        <v>43760</v>
      </c>
      <c r="S31" s="9">
        <v>43762</v>
      </c>
    </row>
    <row r="32" spans="1:21" ht="17">
      <c r="A32" s="22">
        <v>31</v>
      </c>
      <c r="B32" s="53" t="str">
        <f>_xlfn.TEXTJOIN(" ",,C32,D32)</f>
        <v>Sarah Ramey</v>
      </c>
      <c r="C32" s="22" t="s">
        <v>128</v>
      </c>
      <c r="D32" s="22" t="s">
        <v>585</v>
      </c>
      <c r="E32" s="58" t="s">
        <v>586</v>
      </c>
      <c r="F32" s="40" t="s">
        <v>756</v>
      </c>
      <c r="G32" s="36">
        <v>21</v>
      </c>
      <c r="H32" s="3" t="s">
        <v>37</v>
      </c>
      <c r="I32" s="9">
        <v>43738</v>
      </c>
      <c r="J32" s="22" t="s">
        <v>70</v>
      </c>
      <c r="K32" s="105" t="s">
        <v>732</v>
      </c>
      <c r="L32" s="105" t="s">
        <v>732</v>
      </c>
      <c r="M32" s="22" t="s">
        <v>712</v>
      </c>
      <c r="N32" s="4" t="s">
        <v>707</v>
      </c>
      <c r="O32" s="9">
        <v>43754</v>
      </c>
      <c r="Q32" s="9">
        <v>43767</v>
      </c>
    </row>
    <row r="33" spans="1:19">
      <c r="A33" s="22">
        <v>32</v>
      </c>
      <c r="B33" s="54" t="s">
        <v>757</v>
      </c>
      <c r="C33" s="6" t="s">
        <v>524</v>
      </c>
      <c r="D33" s="6" t="s">
        <v>67</v>
      </c>
      <c r="E33" s="5" t="s">
        <v>525</v>
      </c>
      <c r="F33" s="34" t="s">
        <v>758</v>
      </c>
      <c r="G33" s="35">
        <v>21</v>
      </c>
      <c r="H33" s="34" t="s">
        <v>63</v>
      </c>
      <c r="I33" s="9">
        <v>43726</v>
      </c>
      <c r="J33" s="22" t="s">
        <v>38</v>
      </c>
      <c r="K33" s="22" t="s">
        <v>732</v>
      </c>
      <c r="L33" s="22" t="s">
        <v>705</v>
      </c>
      <c r="M33" s="22" t="s">
        <v>710</v>
      </c>
      <c r="N33" s="4" t="s">
        <v>707</v>
      </c>
      <c r="O33" s="9">
        <v>43752</v>
      </c>
      <c r="Q33" s="9">
        <v>43767</v>
      </c>
    </row>
    <row r="34" spans="1:19">
      <c r="A34" s="22">
        <v>33</v>
      </c>
      <c r="B34" s="53" t="str">
        <f>_xlfn.TEXTJOIN(" ",,C34,D34)</f>
        <v>Ronan Berger</v>
      </c>
      <c r="C34" s="22" t="s">
        <v>614</v>
      </c>
      <c r="D34" s="22" t="s">
        <v>615</v>
      </c>
      <c r="E34" s="5" t="s">
        <v>616</v>
      </c>
      <c r="F34" s="3">
        <v>7248149670</v>
      </c>
      <c r="G34" s="36">
        <v>19</v>
      </c>
      <c r="H34" s="3" t="s">
        <v>63</v>
      </c>
      <c r="I34" s="9">
        <v>43748</v>
      </c>
      <c r="J34" s="22" t="s">
        <v>38</v>
      </c>
      <c r="K34" s="22" t="s">
        <v>732</v>
      </c>
      <c r="L34" s="22" t="s">
        <v>705</v>
      </c>
      <c r="M34" s="22" t="s">
        <v>711</v>
      </c>
      <c r="N34" s="4" t="s">
        <v>707</v>
      </c>
      <c r="O34" s="9">
        <v>43761</v>
      </c>
      <c r="S34" s="9">
        <v>43775</v>
      </c>
    </row>
    <row r="35" spans="1:19">
      <c r="A35" s="22">
        <v>34</v>
      </c>
      <c r="B35" s="53" t="str">
        <f>_xlfn.TEXTJOIN(" ",,C35,D35)</f>
        <v>Emma Stockham</v>
      </c>
      <c r="C35" s="22" t="s">
        <v>589</v>
      </c>
      <c r="D35" s="22" t="s">
        <v>642</v>
      </c>
      <c r="E35" s="5" t="s">
        <v>643</v>
      </c>
      <c r="F35" s="3">
        <v>5407794441</v>
      </c>
      <c r="G35" s="36">
        <v>18</v>
      </c>
      <c r="H35" s="3" t="s">
        <v>37</v>
      </c>
      <c r="I35" s="9">
        <v>43748</v>
      </c>
      <c r="J35" s="22" t="s">
        <v>38</v>
      </c>
      <c r="K35" s="22" t="s">
        <v>38</v>
      </c>
      <c r="L35" s="22" t="s">
        <v>705</v>
      </c>
      <c r="M35" s="22" t="s">
        <v>706</v>
      </c>
      <c r="N35" s="4" t="s">
        <v>736</v>
      </c>
      <c r="O35" s="9">
        <v>43754</v>
      </c>
      <c r="S35" s="9">
        <v>43762</v>
      </c>
    </row>
    <row r="36" spans="1:19">
      <c r="A36" s="22">
        <v>35</v>
      </c>
      <c r="B36" s="53" t="str">
        <f>_xlfn.TEXTJOIN(" ",,C36,D36)</f>
        <v>Kara Ristey</v>
      </c>
      <c r="C36" s="22" t="s">
        <v>683</v>
      </c>
      <c r="D36" s="22" t="s">
        <v>684</v>
      </c>
      <c r="E36" s="5" t="s">
        <v>685</v>
      </c>
      <c r="F36" s="3" t="s">
        <v>686</v>
      </c>
      <c r="G36" s="36">
        <v>18</v>
      </c>
      <c r="H36" s="3" t="s">
        <v>37</v>
      </c>
      <c r="I36" s="9">
        <v>43753</v>
      </c>
      <c r="J36" s="22" t="s">
        <v>131</v>
      </c>
      <c r="K36" s="105" t="s">
        <v>131</v>
      </c>
      <c r="L36" s="105" t="s">
        <v>705</v>
      </c>
      <c r="M36" s="22" t="s">
        <v>711</v>
      </c>
      <c r="N36" s="4" t="s">
        <v>736</v>
      </c>
      <c r="O36" s="9">
        <v>43760</v>
      </c>
    </row>
    <row r="37" spans="1:19">
      <c r="A37" s="4">
        <v>36</v>
      </c>
      <c r="B37" s="53" t="str">
        <f t="shared" ref="B37" si="0">_xlfn.TEXTJOIN(" ",,C37,D37)</f>
        <v>Deismy Jimenez</v>
      </c>
      <c r="C37" s="22" t="s">
        <v>644</v>
      </c>
      <c r="D37" s="22" t="s">
        <v>645</v>
      </c>
      <c r="E37" s="5" t="s">
        <v>646</v>
      </c>
      <c r="F37" s="3" t="s">
        <v>647</v>
      </c>
      <c r="G37" s="36">
        <v>19</v>
      </c>
      <c r="H37" s="3" t="s">
        <v>37</v>
      </c>
      <c r="I37" s="9">
        <v>43750</v>
      </c>
      <c r="J37" s="22" t="s">
        <v>38</v>
      </c>
      <c r="K37" s="103" t="s">
        <v>38</v>
      </c>
      <c r="L37" s="105" t="s">
        <v>705</v>
      </c>
      <c r="M37" s="22" t="s">
        <v>710</v>
      </c>
      <c r="N37" s="4" t="s">
        <v>736</v>
      </c>
      <c r="O37" s="9">
        <v>43762</v>
      </c>
      <c r="P37" s="9"/>
      <c r="Q37" s="9"/>
      <c r="R37" s="9"/>
      <c r="S37" s="9">
        <v>43787</v>
      </c>
    </row>
    <row r="38" spans="1:19">
      <c r="A38" s="22">
        <v>37</v>
      </c>
      <c r="B38" s="6" t="s">
        <v>1636</v>
      </c>
      <c r="C38" s="6" t="s">
        <v>785</v>
      </c>
      <c r="D38" s="6" t="s">
        <v>790</v>
      </c>
      <c r="E38" s="6" t="s">
        <v>1637</v>
      </c>
      <c r="F38" s="6">
        <v>5706403101</v>
      </c>
      <c r="G38" s="35">
        <v>20</v>
      </c>
      <c r="H38" s="34" t="s">
        <v>37</v>
      </c>
      <c r="I38" s="26">
        <v>43755</v>
      </c>
      <c r="J38" s="6" t="s">
        <v>70</v>
      </c>
      <c r="M38" s="22" t="s">
        <v>711</v>
      </c>
      <c r="N38" s="4" t="s">
        <v>739</v>
      </c>
      <c r="O38" s="9">
        <v>43762</v>
      </c>
    </row>
    <row r="39" spans="1:19">
      <c r="A39" s="22">
        <v>38</v>
      </c>
      <c r="B39" s="20" t="s">
        <v>1632</v>
      </c>
      <c r="C39" s="20" t="s">
        <v>373</v>
      </c>
      <c r="D39" s="20" t="s">
        <v>1256</v>
      </c>
      <c r="E39" s="28" t="s">
        <v>1257</v>
      </c>
      <c r="F39" s="28" t="s">
        <v>1258</v>
      </c>
      <c r="G39" s="77">
        <v>18</v>
      </c>
      <c r="H39" s="65" t="s">
        <v>37</v>
      </c>
      <c r="I39" s="29">
        <v>43759</v>
      </c>
      <c r="J39" s="20" t="s">
        <v>131</v>
      </c>
      <c r="M39" s="22" t="s">
        <v>711</v>
      </c>
      <c r="N39" s="4" t="s">
        <v>739</v>
      </c>
      <c r="O39" s="9">
        <v>43768</v>
      </c>
    </row>
    <row r="40" spans="1:19">
      <c r="A40" s="22">
        <v>39</v>
      </c>
      <c r="B40" s="20" t="str">
        <f t="shared" ref="B40" si="1">_xlfn.TEXTJOIN(" ",,C40,D40)</f>
        <v>Courtney Crable</v>
      </c>
      <c r="C40" s="20" t="s">
        <v>412</v>
      </c>
      <c r="D40" s="20" t="s">
        <v>336</v>
      </c>
      <c r="E40" s="21" t="s">
        <v>413</v>
      </c>
      <c r="F40" s="28">
        <v>8144417766</v>
      </c>
      <c r="G40" s="77">
        <v>22</v>
      </c>
      <c r="H40" s="65" t="s">
        <v>37</v>
      </c>
      <c r="I40" s="29">
        <v>43760</v>
      </c>
      <c r="J40" s="20" t="s">
        <v>38</v>
      </c>
      <c r="K40" s="103" t="s">
        <v>38</v>
      </c>
      <c r="L40" s="104" t="s">
        <v>705</v>
      </c>
      <c r="M40" s="22" t="s">
        <v>711</v>
      </c>
      <c r="N40" s="4" t="s">
        <v>736</v>
      </c>
      <c r="O40" s="9">
        <v>43766</v>
      </c>
      <c r="Q40" s="9">
        <v>43777</v>
      </c>
      <c r="S40" s="9">
        <v>43777</v>
      </c>
    </row>
    <row r="41" spans="1:19">
      <c r="A41" s="22">
        <v>40</v>
      </c>
      <c r="B41" s="20" t="s">
        <v>1631</v>
      </c>
      <c r="C41" s="20" t="s">
        <v>907</v>
      </c>
      <c r="D41" s="20" t="s">
        <v>908</v>
      </c>
      <c r="E41" s="28" t="s">
        <v>909</v>
      </c>
      <c r="F41" s="28">
        <v>5703364488</v>
      </c>
      <c r="G41" s="77">
        <v>18</v>
      </c>
      <c r="H41" s="65" t="s">
        <v>63</v>
      </c>
      <c r="I41" s="29">
        <v>43759</v>
      </c>
      <c r="J41" s="20" t="s">
        <v>131</v>
      </c>
      <c r="K41" s="29"/>
      <c r="M41" s="22" t="s">
        <v>711</v>
      </c>
      <c r="N41" s="4" t="s">
        <v>739</v>
      </c>
      <c r="O41" s="9">
        <v>43776</v>
      </c>
    </row>
    <row r="42" spans="1:19">
      <c r="A42" s="22">
        <v>41</v>
      </c>
      <c r="B42" s="53" t="str">
        <f t="shared" ref="B42:B44" si="2">_xlfn.TEXTJOIN(" ",,C42,D42)</f>
        <v>Alexis Wasson</v>
      </c>
      <c r="C42" s="20" t="s">
        <v>785</v>
      </c>
      <c r="D42" s="20" t="s">
        <v>1606</v>
      </c>
      <c r="E42" s="21" t="s">
        <v>1605</v>
      </c>
      <c r="F42" s="65">
        <v>8145742854</v>
      </c>
      <c r="G42" s="36">
        <v>23</v>
      </c>
      <c r="H42" s="3" t="s">
        <v>37</v>
      </c>
      <c r="I42" s="29">
        <v>43760</v>
      </c>
      <c r="J42" s="20" t="s">
        <v>70</v>
      </c>
      <c r="K42" s="29"/>
      <c r="M42" s="22" t="s">
        <v>711</v>
      </c>
      <c r="N42" s="4" t="s">
        <v>739</v>
      </c>
      <c r="O42" s="9">
        <v>43774</v>
      </c>
    </row>
    <row r="43" spans="1:19">
      <c r="A43" s="22">
        <v>42</v>
      </c>
      <c r="B43" s="53" t="str">
        <f t="shared" si="2"/>
        <v>Eric Barna</v>
      </c>
      <c r="C43" s="44" t="s">
        <v>991</v>
      </c>
      <c r="D43" s="44" t="s">
        <v>1645</v>
      </c>
      <c r="E43" s="21" t="s">
        <v>1646</v>
      </c>
      <c r="F43" s="65">
        <v>4842253458</v>
      </c>
      <c r="G43" s="36">
        <v>21</v>
      </c>
      <c r="H43" s="3" t="s">
        <v>63</v>
      </c>
      <c r="I43" s="29">
        <v>43761</v>
      </c>
      <c r="J43" s="20" t="s">
        <v>38</v>
      </c>
      <c r="K43" s="29"/>
      <c r="M43" s="22" t="s">
        <v>711</v>
      </c>
      <c r="N43" s="4" t="s">
        <v>739</v>
      </c>
      <c r="O43" s="9">
        <v>43777</v>
      </c>
    </row>
    <row r="44" spans="1:19">
      <c r="A44" s="22">
        <v>43</v>
      </c>
      <c r="B44" s="64" t="str">
        <f t="shared" si="2"/>
        <v>Alyssa Ross</v>
      </c>
      <c r="C44" s="44" t="s">
        <v>567</v>
      </c>
      <c r="D44" s="20" t="s">
        <v>1773</v>
      </c>
      <c r="E44" s="5" t="s">
        <v>1774</v>
      </c>
      <c r="F44" s="106">
        <v>6107623143</v>
      </c>
      <c r="G44" s="77">
        <v>21</v>
      </c>
      <c r="H44" s="65" t="s">
        <v>37</v>
      </c>
      <c r="I44" s="29">
        <v>43769</v>
      </c>
      <c r="J44" s="20" t="s">
        <v>38</v>
      </c>
      <c r="K44" s="29"/>
      <c r="M44" s="22" t="s">
        <v>711</v>
      </c>
      <c r="N44" s="4" t="s">
        <v>739</v>
      </c>
      <c r="O44" s="9">
        <v>43774</v>
      </c>
    </row>
    <row r="45" spans="1:19">
      <c r="A45" s="22">
        <v>44</v>
      </c>
      <c r="B45" s="64" t="str">
        <f>_xlfn.TEXTJOIN(" ",,C45,D45)</f>
        <v>Nicole Reigh</v>
      </c>
      <c r="C45" s="44" t="s">
        <v>1267</v>
      </c>
      <c r="D45" s="20" t="s">
        <v>1776</v>
      </c>
      <c r="E45" s="5" t="s">
        <v>1775</v>
      </c>
      <c r="F45" s="106">
        <v>8149317768</v>
      </c>
      <c r="G45" s="77">
        <v>24</v>
      </c>
      <c r="H45" s="65" t="s">
        <v>37</v>
      </c>
      <c r="I45" s="29">
        <v>43769</v>
      </c>
      <c r="J45" s="20" t="s">
        <v>70</v>
      </c>
      <c r="K45" s="29"/>
      <c r="M45" s="22" t="s">
        <v>711</v>
      </c>
      <c r="O45" s="9">
        <v>43782</v>
      </c>
    </row>
    <row r="46" spans="1:19">
      <c r="A46" s="22">
        <v>45</v>
      </c>
      <c r="B46" s="20" t="s">
        <v>103</v>
      </c>
      <c r="C46" s="70" t="s">
        <v>104</v>
      </c>
      <c r="D46" s="20" t="s">
        <v>105</v>
      </c>
      <c r="E46" s="21" t="s">
        <v>106</v>
      </c>
      <c r="F46" s="65" t="s">
        <v>107</v>
      </c>
      <c r="G46" s="36">
        <v>22</v>
      </c>
      <c r="H46" s="70" t="s">
        <v>37</v>
      </c>
      <c r="I46" s="29">
        <v>43670</v>
      </c>
      <c r="J46" s="107" t="s">
        <v>131</v>
      </c>
      <c r="K46" s="29"/>
      <c r="M46" s="22" t="s">
        <v>711</v>
      </c>
      <c r="O46" s="9">
        <v>43783</v>
      </c>
    </row>
  </sheetData>
  <autoFilter ref="A1:Y38" xr:uid="{700019D0-1C8B-F948-908A-DA58F7057515}">
    <sortState xmlns:xlrd2="http://schemas.microsoft.com/office/spreadsheetml/2017/richdata2" ref="A2:Y39">
      <sortCondition ref="A1:A39"/>
    </sortState>
  </autoFilter>
  <hyperlinks>
    <hyperlink ref="E12" r:id="rId1" xr:uid="{A5AE11A7-17B9-D148-A17C-3CCE84FDCF35}"/>
    <hyperlink ref="E5" r:id="rId2" xr:uid="{38057663-D3DF-DF4F-A984-2C4E16A4733E}"/>
    <hyperlink ref="E3" r:id="rId3" xr:uid="{3BC6F862-3079-6946-8075-28D9572BC19A}"/>
    <hyperlink ref="E6" r:id="rId4" xr:uid="{D4C4EB04-A9CF-224D-901E-BA6A42AB0289}"/>
    <hyperlink ref="E2" r:id="rId5" xr:uid="{E0B71105-D204-EA45-9C3A-ED0030ED80D6}"/>
    <hyperlink ref="E9" r:id="rId6" xr:uid="{39F821EB-B759-384F-9DD2-E3E83CEE7ED0}"/>
    <hyperlink ref="E8" r:id="rId7" xr:uid="{FFC487D9-D87A-B844-8641-3BA3235E7DFF}"/>
    <hyperlink ref="E11" r:id="rId8" xr:uid="{5AB44381-689D-CA47-90DB-B04F606A0301}"/>
    <hyperlink ref="E13" r:id="rId9" xr:uid="{0637D9EF-F1C6-5640-A9D0-963115C632F7}"/>
    <hyperlink ref="E14" r:id="rId10" xr:uid="{12E2509B-93BD-5A4E-9E1A-98B35BF082C8}"/>
    <hyperlink ref="E16" r:id="rId11" xr:uid="{7DC6C544-151D-894C-A9A6-E282111F7288}"/>
    <hyperlink ref="E17" r:id="rId12" display="mailto:vbg5066@psu.edu" xr:uid="{692B0E6A-4A3A-7240-B866-05C095743EE7}"/>
    <hyperlink ref="E18" r:id="rId13" display="mailto:Tcd5156@psu.edu" xr:uid="{3D2F33AF-2AB5-EB43-9918-6D381523D904}"/>
    <hyperlink ref="E19" r:id="rId14" xr:uid="{6B0BC474-6A10-AA4E-8750-6A8F9FDC2BC9}"/>
    <hyperlink ref="E25" r:id="rId15" xr:uid="{83CC855A-689B-2244-B8C3-BD0D623A6C27}"/>
    <hyperlink ref="E20" r:id="rId16" xr:uid="{7A483A27-C8A8-B744-A8A8-4776EF17B175}"/>
    <hyperlink ref="E7" r:id="rId17" xr:uid="{D57B0080-EC8A-4941-832E-7536C9201CB3}"/>
    <hyperlink ref="E21" r:id="rId18" xr:uid="{D414E8C1-FF71-4344-BBD1-B800C8264B7B}"/>
    <hyperlink ref="E22" r:id="rId19" xr:uid="{00235C7C-17D1-264A-9252-FBF2013D2155}"/>
    <hyperlink ref="E23" r:id="rId20" xr:uid="{C009DFBF-C09F-AF41-8769-25F0EFB13276}"/>
    <hyperlink ref="E24" r:id="rId21" xr:uid="{1FA68B79-0079-4A48-8E6C-7E08B488B39E}"/>
    <hyperlink ref="E27" r:id="rId22" xr:uid="{022486C1-BD3D-7D4B-BDB0-CE13D02B5396}"/>
    <hyperlink ref="E28" r:id="rId23" xr:uid="{DBCFF1C2-8D01-524D-A39A-A0C7615957AF}"/>
    <hyperlink ref="E29" r:id="rId24" xr:uid="{F4A58011-BC13-484E-B90D-CD8045AAB360}"/>
    <hyperlink ref="E30" r:id="rId25" xr:uid="{D82144C8-E0DB-F546-B04D-8B632BE40C5A}"/>
    <hyperlink ref="E31" r:id="rId26" xr:uid="{B1F83CDC-3F8A-A343-AA92-31478CC631FF}"/>
    <hyperlink ref="E32" r:id="rId27" xr:uid="{F27B8812-628A-3A43-B099-680F645FD9E1}"/>
    <hyperlink ref="E33" r:id="rId28" display="mailto:aiden.s98@gmail.com" xr:uid="{5A865F4F-8346-814B-AD28-D049A8D78ADB}"/>
    <hyperlink ref="E34" r:id="rId29" xr:uid="{C25A395F-ACEB-D845-A862-4060D2791036}"/>
    <hyperlink ref="E35" r:id="rId30" xr:uid="{75989CB6-B440-754B-A040-41B7D7788BE5}"/>
    <hyperlink ref="E36" r:id="rId31" xr:uid="{92ADC051-16B2-4867-83B6-26E0453ED66C}"/>
    <hyperlink ref="E37" r:id="rId32" xr:uid="{25E2D483-546A-CA40-A2FA-3F579857DF07}"/>
    <hyperlink ref="E40" r:id="rId33" xr:uid="{803C6573-7CDE-0A44-B795-A63E350C0BD5}"/>
    <hyperlink ref="E42" r:id="rId34" xr:uid="{9A7F12F8-DDCA-4048-A6C5-4849655A66D9}"/>
    <hyperlink ref="E43" r:id="rId35" display="mailto:emb26@pct.edu" xr:uid="{4C1FC23F-A8B7-3042-A234-2CCA36B2C62D}"/>
    <hyperlink ref="E44" r:id="rId36" display="mailto:ajr5809@psu.edu" xr:uid="{7DC9FC06-6E28-8742-99BE-925ECCD125E9}"/>
    <hyperlink ref="E45" r:id="rId37" display="mailto:nar5235@psu.edu" xr:uid="{A1483E50-D296-784A-B1BE-FFB95B5F9646}"/>
    <hyperlink ref="E46" r:id="rId38" xr:uid="{0E8DD5E7-DAF5-7B4A-8442-6DDA7D1474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F75A-B110-8343-81BC-530CC54D7515}">
  <dimension ref="A1:V34"/>
  <sheetViews>
    <sheetView topLeftCell="A2" workbookViewId="0">
      <selection activeCell="F33" sqref="F33"/>
    </sheetView>
  </sheetViews>
  <sheetFormatPr baseColWidth="10" defaultColWidth="11" defaultRowHeight="16"/>
  <cols>
    <col min="1" max="1" width="16.6640625" style="20" customWidth="1"/>
    <col min="2" max="2" width="13.33203125" style="20" customWidth="1"/>
    <col min="3" max="3" width="11" style="20"/>
    <col min="4" max="4" width="17.1640625" style="20" customWidth="1"/>
    <col min="5" max="5" width="18" style="20" customWidth="1"/>
    <col min="6" max="7" width="11" style="20"/>
    <col min="8" max="8" width="24" style="20" customWidth="1"/>
    <col min="9" max="16384" width="11" style="20"/>
  </cols>
  <sheetData>
    <row r="1" spans="1:11">
      <c r="A1" s="59" t="s">
        <v>0</v>
      </c>
      <c r="B1" s="59" t="s">
        <v>1</v>
      </c>
      <c r="C1" s="59" t="s">
        <v>2</v>
      </c>
      <c r="D1" s="76" t="s">
        <v>3</v>
      </c>
      <c r="E1" s="76" t="s">
        <v>4</v>
      </c>
      <c r="F1" s="76" t="s">
        <v>5</v>
      </c>
      <c r="G1" s="76" t="s">
        <v>725</v>
      </c>
      <c r="H1" s="76" t="s">
        <v>697</v>
      </c>
      <c r="I1" s="76" t="s">
        <v>7</v>
      </c>
      <c r="J1" s="76" t="s">
        <v>759</v>
      </c>
      <c r="K1" s="76" t="s">
        <v>1798</v>
      </c>
    </row>
    <row r="2" spans="1:11">
      <c r="A2" s="20" t="str">
        <f>_xlfn.TEXTJOIN(" ",,B2,C2)</f>
        <v>Carley Calcao</v>
      </c>
      <c r="B2" s="20" t="s">
        <v>633</v>
      </c>
      <c r="C2" s="20" t="s">
        <v>634</v>
      </c>
      <c r="D2" s="21" t="s">
        <v>635</v>
      </c>
      <c r="E2" s="65">
        <v>4847074013</v>
      </c>
      <c r="F2" s="77">
        <v>18</v>
      </c>
      <c r="G2" s="65" t="s">
        <v>37</v>
      </c>
      <c r="H2" s="29">
        <v>43747</v>
      </c>
      <c r="I2" s="20" t="s">
        <v>131</v>
      </c>
    </row>
    <row r="3" spans="1:11">
      <c r="A3" s="20" t="str">
        <f>_xlfn.TEXTJOIN(" ",,B3,C3)</f>
        <v>Sofia Leon</v>
      </c>
      <c r="B3" s="64" t="s">
        <v>573</v>
      </c>
      <c r="C3" s="20" t="s">
        <v>574</v>
      </c>
      <c r="D3" s="21" t="s">
        <v>575</v>
      </c>
      <c r="E3" s="20">
        <v>5703697554</v>
      </c>
      <c r="F3" s="77">
        <v>19</v>
      </c>
      <c r="G3" s="65" t="s">
        <v>37</v>
      </c>
      <c r="H3" s="29">
        <v>43738</v>
      </c>
      <c r="I3" s="20" t="s">
        <v>38</v>
      </c>
    </row>
    <row r="4" spans="1:11">
      <c r="A4" s="20" t="s">
        <v>760</v>
      </c>
      <c r="B4" s="20" t="s">
        <v>761</v>
      </c>
      <c r="C4" s="20" t="s">
        <v>332</v>
      </c>
      <c r="D4" s="21" t="s">
        <v>561</v>
      </c>
      <c r="E4" s="65" t="s">
        <v>562</v>
      </c>
      <c r="F4" s="77">
        <v>22</v>
      </c>
      <c r="G4" s="65" t="s">
        <v>63</v>
      </c>
      <c r="H4" s="29">
        <v>43735</v>
      </c>
      <c r="I4" s="20" t="s">
        <v>38</v>
      </c>
    </row>
    <row r="5" spans="1:11">
      <c r="A5" s="64" t="str">
        <f t="shared" ref="A5" si="0">_xlfn.TEXTJOIN(" ",,B5,C5)</f>
        <v>Chloe Nakhleh</v>
      </c>
      <c r="B5" s="74" t="s">
        <v>536</v>
      </c>
      <c r="C5" s="20" t="s">
        <v>537</v>
      </c>
      <c r="D5" s="28" t="s">
        <v>538</v>
      </c>
      <c r="E5" s="20">
        <v>8627039954</v>
      </c>
      <c r="F5" s="77">
        <v>18</v>
      </c>
      <c r="G5" s="65" t="s">
        <v>37</v>
      </c>
      <c r="H5" s="29">
        <v>43728</v>
      </c>
      <c r="I5" s="20" t="s">
        <v>38</v>
      </c>
    </row>
    <row r="6" spans="1:11">
      <c r="A6" s="20" t="str">
        <f>_xlfn.TEXTJOIN(" ",,B6,C6)</f>
        <v>Mikailah Morrison</v>
      </c>
      <c r="B6" s="20" t="s">
        <v>435</v>
      </c>
      <c r="C6" s="20" t="s">
        <v>436</v>
      </c>
      <c r="D6" s="21" t="s">
        <v>437</v>
      </c>
      <c r="E6" s="65" t="s">
        <v>438</v>
      </c>
      <c r="F6" s="77">
        <v>18</v>
      </c>
      <c r="G6" s="65" t="s">
        <v>37</v>
      </c>
      <c r="H6" s="29">
        <v>43718</v>
      </c>
      <c r="I6" s="20" t="s">
        <v>38</v>
      </c>
    </row>
    <row r="7" spans="1:11">
      <c r="A7" s="64" t="str">
        <f>_xlfn.TEXTJOIN(" ",,B7,C7)</f>
        <v>Isabella Perez</v>
      </c>
      <c r="B7" s="20" t="s">
        <v>577</v>
      </c>
      <c r="C7" s="20" t="s">
        <v>578</v>
      </c>
      <c r="D7" s="21" t="s">
        <v>579</v>
      </c>
      <c r="E7" s="65" t="s">
        <v>580</v>
      </c>
      <c r="F7" s="77">
        <v>18</v>
      </c>
      <c r="G7" s="65" t="s">
        <v>37</v>
      </c>
      <c r="H7" s="29">
        <v>43738</v>
      </c>
      <c r="I7" s="20" t="s">
        <v>70</v>
      </c>
    </row>
    <row r="8" spans="1:11">
      <c r="A8" s="20" t="s">
        <v>1629</v>
      </c>
      <c r="B8" s="20" t="s">
        <v>1608</v>
      </c>
      <c r="C8" s="20" t="s">
        <v>1630</v>
      </c>
      <c r="D8" s="21" t="s">
        <v>1607</v>
      </c>
      <c r="F8" s="77">
        <v>23</v>
      </c>
      <c r="G8" s="65" t="s">
        <v>37</v>
      </c>
      <c r="H8" s="29">
        <v>43759</v>
      </c>
      <c r="I8" s="20" t="s">
        <v>131</v>
      </c>
      <c r="J8" s="29">
        <v>43761</v>
      </c>
      <c r="K8" s="29">
        <v>43770</v>
      </c>
    </row>
    <row r="9" spans="1:11">
      <c r="A9" s="20" t="s">
        <v>1634</v>
      </c>
      <c r="B9" s="20" t="s">
        <v>1334</v>
      </c>
      <c r="C9" s="20" t="s">
        <v>1335</v>
      </c>
      <c r="D9" s="21" t="s">
        <v>1336</v>
      </c>
      <c r="E9" s="28" t="s">
        <v>1635</v>
      </c>
      <c r="F9" s="77">
        <v>18</v>
      </c>
      <c r="G9" s="65" t="s">
        <v>37</v>
      </c>
      <c r="H9" s="29">
        <v>43759</v>
      </c>
      <c r="I9" s="20" t="s">
        <v>131</v>
      </c>
      <c r="J9" s="29">
        <v>43761</v>
      </c>
    </row>
    <row r="10" spans="1:11">
      <c r="A10" s="53" t="str">
        <f t="shared" ref="A10:A15" si="1">_xlfn.TEXTJOIN(" ",,B10,C10)</f>
        <v>Ally Wagner</v>
      </c>
      <c r="B10" s="44" t="s">
        <v>1640</v>
      </c>
      <c r="C10" s="44" t="s">
        <v>1332</v>
      </c>
      <c r="D10" s="21" t="s">
        <v>1641</v>
      </c>
      <c r="E10" s="65">
        <v>8149337202</v>
      </c>
      <c r="F10" s="36">
        <v>23</v>
      </c>
      <c r="G10" s="3" t="s">
        <v>37</v>
      </c>
      <c r="H10" s="9">
        <v>43761</v>
      </c>
      <c r="I10" s="20" t="s">
        <v>131</v>
      </c>
      <c r="J10" s="9">
        <v>43762</v>
      </c>
    </row>
    <row r="11" spans="1:11">
      <c r="A11" s="53" t="str">
        <f t="shared" si="1"/>
        <v>Kathleen Cempa</v>
      </c>
      <c r="B11" s="44" t="s">
        <v>1653</v>
      </c>
      <c r="C11" s="44" t="s">
        <v>1654</v>
      </c>
      <c r="D11" s="5" t="s">
        <v>1655</v>
      </c>
      <c r="E11" s="65">
        <v>8143213696</v>
      </c>
      <c r="F11" s="36">
        <v>19</v>
      </c>
      <c r="G11" s="3" t="s">
        <v>37</v>
      </c>
      <c r="H11" s="29">
        <v>43761</v>
      </c>
      <c r="I11" s="20" t="s">
        <v>38</v>
      </c>
      <c r="J11" s="29">
        <v>43762</v>
      </c>
      <c r="K11" s="29">
        <v>43770</v>
      </c>
    </row>
    <row r="12" spans="1:11">
      <c r="A12" s="64" t="str">
        <f t="shared" si="1"/>
        <v>Jiuqing "Cindy" Yu</v>
      </c>
      <c r="B12" s="44" t="s">
        <v>1763</v>
      </c>
      <c r="C12" s="20" t="s">
        <v>949</v>
      </c>
      <c r="D12" s="5" t="s">
        <v>1696</v>
      </c>
      <c r="E12" s="65">
        <v>9542539003</v>
      </c>
      <c r="F12" s="77">
        <v>20</v>
      </c>
      <c r="G12" s="65" t="s">
        <v>37</v>
      </c>
      <c r="H12" s="29">
        <v>43767</v>
      </c>
      <c r="I12" s="20" t="s">
        <v>38</v>
      </c>
      <c r="J12" s="29">
        <v>43768</v>
      </c>
    </row>
    <row r="13" spans="1:11">
      <c r="A13" s="64" t="str">
        <f t="shared" si="1"/>
        <v>Sarah Gross</v>
      </c>
      <c r="B13" s="44" t="s">
        <v>128</v>
      </c>
      <c r="C13" s="44" t="s">
        <v>1700</v>
      </c>
      <c r="D13" s="21" t="s">
        <v>1701</v>
      </c>
      <c r="E13" s="101">
        <v>6102176484</v>
      </c>
      <c r="F13" s="77">
        <v>21</v>
      </c>
      <c r="G13" s="65" t="s">
        <v>37</v>
      </c>
      <c r="H13" s="29">
        <v>43767</v>
      </c>
      <c r="I13" s="20" t="s">
        <v>131</v>
      </c>
      <c r="J13" s="29">
        <v>43768</v>
      </c>
      <c r="K13" s="29">
        <v>43770</v>
      </c>
    </row>
    <row r="14" spans="1:11">
      <c r="A14" s="64" t="str">
        <f t="shared" si="1"/>
        <v>Stephanie Michaud</v>
      </c>
      <c r="B14" s="20" t="s">
        <v>541</v>
      </c>
      <c r="C14" s="20" t="s">
        <v>1588</v>
      </c>
      <c r="D14" s="21" t="s">
        <v>1589</v>
      </c>
      <c r="E14" s="67">
        <v>8149332433</v>
      </c>
      <c r="F14" s="77">
        <v>23</v>
      </c>
      <c r="G14" s="65" t="s">
        <v>37</v>
      </c>
      <c r="H14" s="29">
        <v>43755</v>
      </c>
      <c r="I14" s="20" t="s">
        <v>38</v>
      </c>
      <c r="J14" s="29">
        <v>43770</v>
      </c>
    </row>
    <row r="15" spans="1:11">
      <c r="A15" s="64" t="str">
        <f t="shared" si="1"/>
        <v>Alyssa Ross</v>
      </c>
      <c r="B15" s="44" t="s">
        <v>567</v>
      </c>
      <c r="C15" s="20" t="s">
        <v>1773</v>
      </c>
      <c r="D15" s="5" t="s">
        <v>1774</v>
      </c>
      <c r="E15" s="106">
        <v>6107623143</v>
      </c>
      <c r="F15" s="77">
        <v>21</v>
      </c>
      <c r="G15" s="65" t="s">
        <v>37</v>
      </c>
      <c r="H15" s="29">
        <v>43769</v>
      </c>
      <c r="I15" s="20" t="s">
        <v>38</v>
      </c>
      <c r="J15" s="29">
        <v>43770</v>
      </c>
      <c r="K15" s="29">
        <v>43770</v>
      </c>
    </row>
    <row r="16" spans="1:11">
      <c r="A16" s="20" t="s">
        <v>1632</v>
      </c>
      <c r="B16" s="20" t="s">
        <v>373</v>
      </c>
      <c r="C16" s="20" t="s">
        <v>1256</v>
      </c>
      <c r="D16" s="28" t="s">
        <v>1257</v>
      </c>
      <c r="E16" s="28" t="s">
        <v>1258</v>
      </c>
      <c r="F16" s="77">
        <v>18</v>
      </c>
      <c r="G16" s="65" t="s">
        <v>37</v>
      </c>
      <c r="H16" s="29">
        <v>43759</v>
      </c>
      <c r="I16" s="20" t="s">
        <v>131</v>
      </c>
      <c r="J16" s="20" t="s">
        <v>1799</v>
      </c>
    </row>
    <row r="17" spans="1:22">
      <c r="A17" s="22" t="str">
        <f>_xlfn.TEXTJOIN(" ",,B17,C17)</f>
        <v>David Acker</v>
      </c>
      <c r="B17" s="22" t="s">
        <v>636</v>
      </c>
      <c r="C17" s="22" t="s">
        <v>637</v>
      </c>
      <c r="D17" s="5" t="s">
        <v>638</v>
      </c>
      <c r="E17" s="3" t="s">
        <v>639</v>
      </c>
      <c r="F17" s="36">
        <v>21</v>
      </c>
      <c r="G17" s="3" t="s">
        <v>63</v>
      </c>
      <c r="H17" s="9">
        <v>43748</v>
      </c>
      <c r="I17" s="22" t="s">
        <v>70</v>
      </c>
      <c r="J17" s="9">
        <v>43771</v>
      </c>
    </row>
    <row r="18" spans="1:22">
      <c r="A18" s="22" t="str">
        <f>_xlfn.TEXTJOIN(" ",,B18,C18)</f>
        <v>Julia Evans</v>
      </c>
      <c r="B18" s="22" t="s">
        <v>651</v>
      </c>
      <c r="C18" s="22" t="s">
        <v>652</v>
      </c>
      <c r="D18" s="5" t="s">
        <v>653</v>
      </c>
      <c r="E18" s="3" t="s">
        <v>654</v>
      </c>
      <c r="F18" s="36">
        <v>19</v>
      </c>
      <c r="G18" s="3" t="s">
        <v>37</v>
      </c>
      <c r="H18" s="9">
        <v>43752</v>
      </c>
      <c r="I18" s="22" t="s">
        <v>38</v>
      </c>
      <c r="J18" s="29">
        <v>43771</v>
      </c>
    </row>
    <row r="19" spans="1:22">
      <c r="A19" s="22" t="str">
        <f>_xlfn.TEXTJOIN(" ",,B19,C19)</f>
        <v>Francis Musaraca</v>
      </c>
      <c r="B19" s="22" t="s">
        <v>351</v>
      </c>
      <c r="C19" s="22" t="s">
        <v>352</v>
      </c>
      <c r="D19" s="5" t="s">
        <v>353</v>
      </c>
      <c r="E19" s="3">
        <v>8145158491</v>
      </c>
      <c r="F19" s="36">
        <v>24</v>
      </c>
      <c r="G19" s="3" t="s">
        <v>63</v>
      </c>
      <c r="H19" s="9">
        <v>43704</v>
      </c>
      <c r="I19" s="22" t="s">
        <v>70</v>
      </c>
      <c r="J19" s="22" t="s">
        <v>720</v>
      </c>
      <c r="N19" s="29"/>
      <c r="O19" s="29"/>
      <c r="P19" s="29"/>
      <c r="Q19" s="20">
        <v>38</v>
      </c>
      <c r="R19" s="78">
        <v>10</v>
      </c>
      <c r="S19" s="78"/>
      <c r="T19" s="20">
        <v>10</v>
      </c>
      <c r="U19" s="20" t="s">
        <v>42</v>
      </c>
      <c r="V19" s="20" t="s">
        <v>534</v>
      </c>
    </row>
    <row r="20" spans="1:22">
      <c r="A20" s="22" t="str">
        <f>_xlfn.TEXTJOIN(" ",,B20,C20)</f>
        <v>Aspen Ulma</v>
      </c>
      <c r="B20" s="22" t="s">
        <v>418</v>
      </c>
      <c r="C20" s="22" t="s">
        <v>419</v>
      </c>
      <c r="D20" s="19" t="s">
        <v>420</v>
      </c>
      <c r="E20" s="3">
        <v>5202569586</v>
      </c>
      <c r="F20" s="36">
        <v>18</v>
      </c>
      <c r="G20" s="3" t="s">
        <v>37</v>
      </c>
      <c r="H20" s="29">
        <v>43713</v>
      </c>
      <c r="I20" s="22" t="s">
        <v>70</v>
      </c>
      <c r="J20" s="22" t="s">
        <v>720</v>
      </c>
    </row>
    <row r="21" spans="1:22">
      <c r="A21" s="22" t="str">
        <f>_xlfn.TEXTJOIN(" ",,B21,C21)</f>
        <v>Jack Smith</v>
      </c>
      <c r="B21" s="22" t="s">
        <v>66</v>
      </c>
      <c r="C21" s="22" t="s">
        <v>67</v>
      </c>
      <c r="D21" s="22" t="s">
        <v>68</v>
      </c>
      <c r="E21" s="3" t="s">
        <v>69</v>
      </c>
      <c r="F21" s="22"/>
      <c r="G21" s="22" t="s">
        <v>63</v>
      </c>
      <c r="H21" s="29">
        <v>43682</v>
      </c>
      <c r="I21" s="22" t="s">
        <v>70</v>
      </c>
      <c r="J21" s="22" t="s">
        <v>720</v>
      </c>
    </row>
    <row r="22" spans="1:22">
      <c r="A22" s="20" t="s">
        <v>117</v>
      </c>
      <c r="B22" s="70" t="s">
        <v>34</v>
      </c>
      <c r="C22" s="20" t="s">
        <v>118</v>
      </c>
      <c r="D22" s="21" t="s">
        <v>119</v>
      </c>
      <c r="E22" s="65" t="s">
        <v>120</v>
      </c>
      <c r="F22" s="77">
        <v>23</v>
      </c>
      <c r="G22" s="65" t="s">
        <v>37</v>
      </c>
      <c r="H22" s="29">
        <v>43671</v>
      </c>
      <c r="I22" s="107" t="s">
        <v>131</v>
      </c>
      <c r="J22" s="29">
        <v>43771</v>
      </c>
    </row>
    <row r="23" spans="1:22">
      <c r="A23" s="22" t="s">
        <v>1803</v>
      </c>
      <c r="B23" s="20" t="s">
        <v>312</v>
      </c>
      <c r="C23" s="20" t="s">
        <v>313</v>
      </c>
      <c r="D23" s="21" t="s">
        <v>314</v>
      </c>
      <c r="E23" s="65">
        <v>4849474438</v>
      </c>
      <c r="F23" s="36">
        <v>23</v>
      </c>
      <c r="G23" s="3" t="s">
        <v>37</v>
      </c>
      <c r="H23" s="22"/>
      <c r="I23" s="107" t="s">
        <v>131</v>
      </c>
      <c r="J23" s="9">
        <v>43771</v>
      </c>
    </row>
    <row r="24" spans="1:22">
      <c r="A24" s="22" t="s">
        <v>1804</v>
      </c>
      <c r="B24" s="20" t="s">
        <v>348</v>
      </c>
      <c r="C24" s="20" t="s">
        <v>349</v>
      </c>
      <c r="D24" s="21" t="s">
        <v>350</v>
      </c>
      <c r="E24" s="67">
        <v>8148529900</v>
      </c>
      <c r="F24" s="36">
        <v>22</v>
      </c>
      <c r="G24" s="3" t="s">
        <v>63</v>
      </c>
      <c r="H24" s="9">
        <v>43705</v>
      </c>
      <c r="I24" s="107" t="s">
        <v>131</v>
      </c>
      <c r="J24" s="9">
        <v>43771</v>
      </c>
    </row>
    <row r="25" spans="1:22">
      <c r="A25" s="22" t="s">
        <v>1805</v>
      </c>
      <c r="B25" s="20" t="s">
        <v>394</v>
      </c>
      <c r="C25" s="20" t="s">
        <v>395</v>
      </c>
      <c r="D25" s="20" t="s">
        <v>396</v>
      </c>
      <c r="E25" s="66">
        <v>4844675191</v>
      </c>
      <c r="F25" s="36">
        <v>21</v>
      </c>
      <c r="G25" s="3" t="s">
        <v>63</v>
      </c>
      <c r="H25" s="9">
        <v>43707</v>
      </c>
      <c r="I25" s="107" t="s">
        <v>131</v>
      </c>
      <c r="J25" s="9">
        <v>43771</v>
      </c>
      <c r="K25" s="29">
        <v>43771</v>
      </c>
    </row>
    <row r="26" spans="1:22">
      <c r="A26" s="22" t="s">
        <v>1806</v>
      </c>
      <c r="B26" s="20" t="s">
        <v>404</v>
      </c>
      <c r="C26" s="20" t="s">
        <v>405</v>
      </c>
      <c r="D26" s="21" t="s">
        <v>406</v>
      </c>
      <c r="E26" s="65" t="s">
        <v>407</v>
      </c>
      <c r="F26" s="36">
        <v>24</v>
      </c>
      <c r="G26" s="3" t="s">
        <v>63</v>
      </c>
      <c r="H26" s="9">
        <v>43712</v>
      </c>
      <c r="I26" s="107" t="s">
        <v>131</v>
      </c>
      <c r="J26" s="9">
        <v>43771</v>
      </c>
      <c r="K26" s="29">
        <v>43771</v>
      </c>
    </row>
    <row r="27" spans="1:22">
      <c r="A27" s="22" t="s">
        <v>1807</v>
      </c>
      <c r="B27" s="20" t="s">
        <v>556</v>
      </c>
      <c r="C27" s="20" t="s">
        <v>557</v>
      </c>
      <c r="D27" s="21" t="s">
        <v>558</v>
      </c>
      <c r="E27" s="65" t="s">
        <v>559</v>
      </c>
      <c r="F27" s="36">
        <v>19</v>
      </c>
      <c r="G27" s="3" t="s">
        <v>37</v>
      </c>
      <c r="H27" s="9">
        <v>43737</v>
      </c>
      <c r="I27" s="107" t="s">
        <v>131</v>
      </c>
      <c r="J27" s="9">
        <v>43771</v>
      </c>
      <c r="K27" s="29">
        <v>43771</v>
      </c>
    </row>
    <row r="28" spans="1:22">
      <c r="A28" s="108" t="s">
        <v>1823</v>
      </c>
      <c r="B28" s="44" t="s">
        <v>1824</v>
      </c>
      <c r="C28" s="20" t="s">
        <v>1825</v>
      </c>
      <c r="D28" s="5" t="s">
        <v>1826</v>
      </c>
      <c r="E28" s="106">
        <v>7325139403</v>
      </c>
      <c r="F28" s="77">
        <v>25</v>
      </c>
      <c r="G28" s="65" t="s">
        <v>37</v>
      </c>
      <c r="H28" s="29">
        <v>43773</v>
      </c>
      <c r="I28" s="107" t="s">
        <v>131</v>
      </c>
      <c r="J28" s="29">
        <v>43773</v>
      </c>
      <c r="K28" s="77"/>
      <c r="L28" s="65"/>
    </row>
    <row r="30" spans="1:22">
      <c r="K30" s="22"/>
      <c r="L30" s="9"/>
      <c r="M30" s="9"/>
    </row>
    <row r="31" spans="1:22">
      <c r="K31" s="22"/>
      <c r="L31" s="9"/>
    </row>
    <row r="32" spans="1:22">
      <c r="K32" s="22"/>
      <c r="L32" s="9"/>
    </row>
    <row r="33" spans="11:12">
      <c r="K33" s="22"/>
      <c r="L33" s="9"/>
    </row>
    <row r="34" spans="11:12">
      <c r="K34" s="22"/>
      <c r="L34" s="9"/>
    </row>
  </sheetData>
  <hyperlinks>
    <hyperlink ref="D2" r:id="rId1" xr:uid="{08EBD284-92ED-E240-A22B-B9D919AAAA7B}"/>
    <hyperlink ref="D4" r:id="rId2" xr:uid="{5EAF1E8A-9DF0-1444-8136-AD62BDFB04FD}"/>
    <hyperlink ref="D6" r:id="rId3" xr:uid="{1532DB5F-10E6-4647-A3F3-2FF382BA9373}"/>
    <hyperlink ref="D7" r:id="rId4" xr:uid="{7C6B4B1F-A163-684C-A4C0-1E7B88E80F96}"/>
    <hyperlink ref="D3" r:id="rId5" xr:uid="{C63DDD68-EB1D-2F47-A8BF-005F558479FE}"/>
    <hyperlink ref="D8" r:id="rId6" xr:uid="{E528D3A3-6E6D-1C4C-B24E-2DF74D1D4CD8}"/>
    <hyperlink ref="D9" r:id="rId7" xr:uid="{6E9D077A-6425-AE41-A5EC-0883DA31B87D}"/>
    <hyperlink ref="D10" r:id="rId8" display="mailto:aaw5303@psu.edu" xr:uid="{532257BF-C851-3F40-AD43-879949A6469C}"/>
    <hyperlink ref="D11" r:id="rId9" xr:uid="{792BCAF6-2058-7C45-9BE3-171144CA01CC}"/>
    <hyperlink ref="D12" r:id="rId10" xr:uid="{734CF684-7BF7-4F14-9C23-9E52BCF534B8}"/>
    <hyperlink ref="D13" r:id="rId11" xr:uid="{68EED5B1-6A8C-494F-B8C8-71456005B423}"/>
    <hyperlink ref="D14" r:id="rId12" xr:uid="{BE9F09C1-22A8-1542-A9EF-0053E1614D56}"/>
    <hyperlink ref="D17" r:id="rId13" xr:uid="{9FBC1317-ED22-AB4F-ABB2-9783AE4B8751}"/>
    <hyperlink ref="D18" r:id="rId14" xr:uid="{A39A3FC2-17BE-C14D-BE71-6901BFABCF42}"/>
    <hyperlink ref="D19" r:id="rId15" xr:uid="{92D469AC-0031-4D41-9162-0EDEDA8BF891}"/>
    <hyperlink ref="D22" r:id="rId16" xr:uid="{61709C95-B7ED-5F41-A6DD-59EA1E93991A}"/>
    <hyperlink ref="D23" r:id="rId17" xr:uid="{C4744E7F-3216-C548-9DDA-4FDCB01D8858}"/>
    <hyperlink ref="D24" r:id="rId18" xr:uid="{063F8DF5-3650-7C49-BF72-E858F35237D3}"/>
    <hyperlink ref="D26" r:id="rId19" xr:uid="{7BA66FDF-6395-BB41-8B65-1B8B8446C12D}"/>
    <hyperlink ref="D27" r:id="rId20" xr:uid="{679A8F12-2A20-964A-ACD0-C316801307C8}"/>
    <hyperlink ref="D15" r:id="rId21" display="mailto:ajr5809@psu.edu" xr:uid="{1FA4FC6A-300B-DC47-93CB-43A11FB9A80B}"/>
    <hyperlink ref="D28" r:id="rId22" display="mailto:Jacquelinedlepore@gmail.com" xr:uid="{97A52335-2012-084D-AA5F-A497EB1B95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DDD-9EDB-974E-B55F-8F72464C4C86}">
  <dimension ref="A1:J10"/>
  <sheetViews>
    <sheetView workbookViewId="0">
      <selection activeCell="A2" sqref="A2:J6"/>
    </sheetView>
  </sheetViews>
  <sheetFormatPr baseColWidth="10" defaultColWidth="11" defaultRowHeight="16"/>
  <cols>
    <col min="1" max="1" width="16.6640625" customWidth="1"/>
    <col min="2" max="2" width="13.33203125" customWidth="1"/>
    <col min="4" max="4" width="17.1640625" customWidth="1"/>
    <col min="5" max="5" width="18" customWidth="1"/>
    <col min="8" max="8" width="24" customWidth="1"/>
  </cols>
  <sheetData>
    <row r="1" spans="1:10">
      <c r="A1" s="25" t="s">
        <v>0</v>
      </c>
      <c r="B1" s="25" t="s">
        <v>1</v>
      </c>
      <c r="C1" s="25" t="s">
        <v>2</v>
      </c>
      <c r="D1" s="24" t="s">
        <v>3</v>
      </c>
      <c r="E1" s="24" t="s">
        <v>4</v>
      </c>
      <c r="F1" s="24" t="s">
        <v>5</v>
      </c>
      <c r="G1" s="24" t="s">
        <v>725</v>
      </c>
      <c r="H1" s="24" t="s">
        <v>697</v>
      </c>
      <c r="I1" s="24" t="s">
        <v>7</v>
      </c>
      <c r="J1" s="24" t="s">
        <v>12</v>
      </c>
    </row>
    <row r="2" spans="1:10">
      <c r="A2" s="53"/>
      <c r="B2" s="22"/>
      <c r="C2" s="22"/>
      <c r="D2" s="5"/>
      <c r="E2" s="3"/>
      <c r="F2" s="36"/>
      <c r="G2" s="3"/>
      <c r="H2" s="9"/>
      <c r="I2" s="22"/>
      <c r="J2" s="22"/>
    </row>
    <row r="3" spans="1:10">
      <c r="A3" s="53"/>
      <c r="B3" s="22"/>
      <c r="C3" s="22"/>
      <c r="D3" s="5"/>
      <c r="E3" s="3"/>
      <c r="F3" s="36"/>
      <c r="G3" s="3"/>
      <c r="H3" s="9"/>
      <c r="I3" s="22"/>
      <c r="J3" s="22"/>
    </row>
    <row r="4" spans="1:10">
      <c r="A4" s="22"/>
      <c r="B4" s="22"/>
      <c r="C4" s="22"/>
      <c r="D4" s="5"/>
      <c r="E4" s="3"/>
      <c r="F4" s="36"/>
      <c r="G4" s="3"/>
      <c r="H4" s="9"/>
      <c r="I4" s="22"/>
      <c r="J4" s="22"/>
    </row>
    <row r="5" spans="1:10">
      <c r="A5" s="22"/>
      <c r="B5" s="22"/>
      <c r="C5" s="22"/>
      <c r="D5" s="19"/>
      <c r="E5" s="3"/>
      <c r="F5" s="36"/>
      <c r="G5" s="3"/>
      <c r="H5" s="22"/>
      <c r="I5" s="22"/>
      <c r="J5" s="22"/>
    </row>
    <row r="6" spans="1:10">
      <c r="A6" s="22"/>
      <c r="B6" s="22"/>
      <c r="C6" s="22"/>
      <c r="D6" s="22"/>
      <c r="E6" s="3"/>
      <c r="F6" s="22"/>
      <c r="G6" s="22"/>
      <c r="H6" s="22"/>
      <c r="I6" s="22"/>
      <c r="J6" s="22"/>
    </row>
    <row r="7" spans="1:10">
      <c r="A7" s="53"/>
      <c r="B7" s="22"/>
      <c r="C7" s="22"/>
      <c r="D7" s="5"/>
      <c r="E7" s="3"/>
      <c r="F7" s="36"/>
      <c r="G7" s="3"/>
      <c r="H7" s="9"/>
      <c r="I7" s="22"/>
      <c r="J7" s="22"/>
    </row>
    <row r="8" spans="1:10">
      <c r="A8" s="53"/>
      <c r="B8" s="22"/>
      <c r="C8" s="22"/>
      <c r="D8" s="5"/>
      <c r="E8" s="3"/>
      <c r="F8" s="36"/>
      <c r="G8" s="3"/>
      <c r="H8" s="9"/>
      <c r="I8" s="22"/>
      <c r="J8" s="22"/>
    </row>
    <row r="9" spans="1:10">
      <c r="A9" s="53"/>
      <c r="B9" s="22"/>
      <c r="C9" s="22"/>
      <c r="D9" s="5"/>
      <c r="E9" s="3"/>
      <c r="F9" s="36"/>
      <c r="G9" s="3"/>
      <c r="H9" s="9"/>
      <c r="I9" s="22"/>
      <c r="J9" s="22"/>
    </row>
    <row r="10" spans="1:10">
      <c r="A10" s="53"/>
      <c r="B10" s="22"/>
      <c r="C10" s="22"/>
      <c r="D10" s="5"/>
      <c r="E10" s="3"/>
      <c r="F10" s="36"/>
      <c r="G10" s="3"/>
      <c r="H10" s="9"/>
      <c r="I10" s="22"/>
      <c r="J1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A858-B970-704A-B153-C96D7ACE8E97}">
  <dimension ref="A1:I263"/>
  <sheetViews>
    <sheetView topLeftCell="A39" workbookViewId="0">
      <selection activeCell="E2" sqref="E2"/>
    </sheetView>
  </sheetViews>
  <sheetFormatPr baseColWidth="10" defaultColWidth="11" defaultRowHeight="16"/>
  <cols>
    <col min="1" max="1" width="13.1640625" style="22" customWidth="1"/>
    <col min="2" max="2" width="10.83203125" style="22"/>
    <col min="3" max="3" width="21.6640625" style="22" customWidth="1"/>
    <col min="4" max="4" width="15.33203125" style="22" customWidth="1"/>
    <col min="5" max="5" width="10" style="22" customWidth="1"/>
    <col min="6" max="8" width="10.83203125" style="22"/>
    <col min="9" max="9" width="13.6640625" customWidth="1"/>
  </cols>
  <sheetData>
    <row r="1" spans="1:9">
      <c r="A1" s="22" t="s">
        <v>762</v>
      </c>
      <c r="B1" s="22" t="s">
        <v>763</v>
      </c>
      <c r="C1" s="22" t="s">
        <v>3</v>
      </c>
      <c r="D1" s="22" t="s">
        <v>4</v>
      </c>
      <c r="E1" s="22" t="s">
        <v>7</v>
      </c>
      <c r="F1" s="22" t="s">
        <v>764</v>
      </c>
      <c r="G1" s="22" t="s">
        <v>765</v>
      </c>
      <c r="H1" s="22" t="s">
        <v>766</v>
      </c>
      <c r="I1" s="22" t="s">
        <v>11</v>
      </c>
    </row>
    <row r="2" spans="1:9">
      <c r="A2" s="22" t="s">
        <v>312</v>
      </c>
      <c r="B2" s="22" t="s">
        <v>767</v>
      </c>
      <c r="C2" s="5" t="s">
        <v>768</v>
      </c>
      <c r="D2" s="22">
        <v>4845976006</v>
      </c>
      <c r="F2" s="22">
        <v>28</v>
      </c>
      <c r="G2" s="22">
        <v>9</v>
      </c>
      <c r="H2" s="22">
        <v>7</v>
      </c>
      <c r="I2" s="22"/>
    </row>
    <row r="3" spans="1:9">
      <c r="A3" s="22" t="s">
        <v>312</v>
      </c>
      <c r="B3" s="22" t="s">
        <v>769</v>
      </c>
      <c r="C3" s="6" t="s">
        <v>770</v>
      </c>
      <c r="D3" s="22">
        <v>4126001060</v>
      </c>
      <c r="F3" s="22">
        <v>23</v>
      </c>
      <c r="G3" s="22">
        <v>3</v>
      </c>
      <c r="H3" s="22">
        <v>8</v>
      </c>
      <c r="I3" s="22"/>
    </row>
    <row r="4" spans="1:9">
      <c r="A4" s="22" t="s">
        <v>114</v>
      </c>
      <c r="B4" s="22" t="s">
        <v>771</v>
      </c>
      <c r="C4" s="6" t="s">
        <v>772</v>
      </c>
      <c r="D4" s="22" t="s">
        <v>739</v>
      </c>
      <c r="F4" s="22">
        <v>17</v>
      </c>
      <c r="G4" s="22">
        <v>2</v>
      </c>
      <c r="H4" s="22">
        <v>9</v>
      </c>
      <c r="I4" s="22"/>
    </row>
    <row r="5" spans="1:9">
      <c r="A5" s="22" t="s">
        <v>773</v>
      </c>
      <c r="B5" s="22" t="s">
        <v>774</v>
      </c>
      <c r="C5" s="6" t="s">
        <v>775</v>
      </c>
      <c r="D5" s="22">
        <v>5708672344</v>
      </c>
      <c r="F5" s="22">
        <v>38</v>
      </c>
      <c r="G5" s="22">
        <v>7</v>
      </c>
      <c r="H5" s="22">
        <v>8</v>
      </c>
      <c r="I5" s="22"/>
    </row>
    <row r="6" spans="1:9">
      <c r="A6" s="22" t="s">
        <v>776</v>
      </c>
      <c r="B6" s="22" t="s">
        <v>777</v>
      </c>
      <c r="C6" s="6" t="s">
        <v>778</v>
      </c>
      <c r="D6" s="22">
        <v>6108002616</v>
      </c>
      <c r="F6" s="22">
        <v>35</v>
      </c>
      <c r="G6" s="22">
        <v>9</v>
      </c>
      <c r="H6" s="22">
        <v>9</v>
      </c>
      <c r="I6" s="22"/>
    </row>
    <row r="7" spans="1:9">
      <c r="A7" s="22" t="s">
        <v>779</v>
      </c>
      <c r="B7" s="22" t="s">
        <v>780</v>
      </c>
      <c r="C7" s="6" t="s">
        <v>781</v>
      </c>
      <c r="D7" s="22">
        <v>6103146450</v>
      </c>
      <c r="F7" s="22">
        <v>26</v>
      </c>
      <c r="G7" s="22">
        <v>4</v>
      </c>
      <c r="H7" s="22">
        <v>7</v>
      </c>
      <c r="I7" s="22"/>
    </row>
    <row r="8" spans="1:9">
      <c r="A8" s="22" t="s">
        <v>782</v>
      </c>
      <c r="B8" s="22" t="s">
        <v>783</v>
      </c>
      <c r="C8" s="6" t="s">
        <v>784</v>
      </c>
      <c r="D8" s="22" t="s">
        <v>739</v>
      </c>
      <c r="F8" s="22">
        <v>21</v>
      </c>
      <c r="G8" s="22">
        <v>7</v>
      </c>
      <c r="H8" s="22">
        <v>10</v>
      </c>
      <c r="I8" s="22"/>
    </row>
    <row r="9" spans="1:9">
      <c r="A9" s="22" t="s">
        <v>785</v>
      </c>
      <c r="B9" s="22" t="s">
        <v>786</v>
      </c>
      <c r="C9" s="22" t="s">
        <v>787</v>
      </c>
      <c r="D9" s="22">
        <v>6105090089</v>
      </c>
      <c r="F9" s="22">
        <v>12</v>
      </c>
      <c r="G9" s="22">
        <v>1</v>
      </c>
      <c r="H9" s="22">
        <v>0</v>
      </c>
      <c r="I9" s="22"/>
    </row>
    <row r="10" spans="1:9">
      <c r="A10" s="22" t="s">
        <v>785</v>
      </c>
      <c r="B10" s="22" t="s">
        <v>788</v>
      </c>
      <c r="C10" s="6" t="s">
        <v>789</v>
      </c>
      <c r="D10" s="22">
        <v>4843541097</v>
      </c>
      <c r="F10" s="22">
        <v>11</v>
      </c>
      <c r="G10" s="22">
        <v>1</v>
      </c>
      <c r="H10" s="22">
        <v>7</v>
      </c>
      <c r="I10" s="22"/>
    </row>
    <row r="11" spans="1:9">
      <c r="A11" s="22" t="s">
        <v>785</v>
      </c>
      <c r="B11" s="22" t="s">
        <v>790</v>
      </c>
      <c r="C11" s="6" t="s">
        <v>791</v>
      </c>
      <c r="D11" s="22">
        <v>5706403101</v>
      </c>
      <c r="F11" s="22">
        <v>57</v>
      </c>
      <c r="G11" s="22">
        <v>14</v>
      </c>
      <c r="H11" s="22">
        <v>0</v>
      </c>
      <c r="I11" s="22"/>
    </row>
    <row r="12" spans="1:9">
      <c r="A12" s="22" t="s">
        <v>792</v>
      </c>
      <c r="B12" s="22" t="s">
        <v>793</v>
      </c>
      <c r="C12" s="22" t="s">
        <v>794</v>
      </c>
      <c r="D12" s="22">
        <v>6077687141</v>
      </c>
      <c r="F12" s="22">
        <v>6</v>
      </c>
      <c r="G12" s="22">
        <v>0</v>
      </c>
      <c r="H12" s="22">
        <v>2</v>
      </c>
      <c r="I12" s="22"/>
    </row>
    <row r="13" spans="1:9">
      <c r="A13" s="22" t="s">
        <v>795</v>
      </c>
      <c r="B13" s="22" t="s">
        <v>796</v>
      </c>
      <c r="C13" s="6" t="s">
        <v>797</v>
      </c>
      <c r="D13" s="22">
        <v>6107041860</v>
      </c>
      <c r="F13" s="22">
        <v>34</v>
      </c>
      <c r="G13" s="22">
        <v>11</v>
      </c>
      <c r="H13" s="22">
        <v>11</v>
      </c>
      <c r="I13" s="22"/>
    </row>
    <row r="14" spans="1:9">
      <c r="A14" s="22" t="s">
        <v>798</v>
      </c>
      <c r="B14" s="22" t="s">
        <v>799</v>
      </c>
      <c r="C14" s="6" t="s">
        <v>800</v>
      </c>
      <c r="D14" s="22" t="s">
        <v>739</v>
      </c>
      <c r="F14" s="22">
        <v>31</v>
      </c>
      <c r="G14" s="22">
        <v>11</v>
      </c>
      <c r="H14" s="22">
        <v>9</v>
      </c>
      <c r="I14" s="22"/>
    </row>
    <row r="15" spans="1:9">
      <c r="A15" s="22" t="s">
        <v>801</v>
      </c>
      <c r="B15" s="22" t="s">
        <v>802</v>
      </c>
      <c r="C15" s="6" t="s">
        <v>803</v>
      </c>
      <c r="D15" s="22">
        <v>2708042168</v>
      </c>
      <c r="F15" s="22">
        <v>45</v>
      </c>
      <c r="G15" s="22">
        <v>9</v>
      </c>
      <c r="H15" s="22">
        <v>8</v>
      </c>
      <c r="I15" s="22"/>
    </row>
    <row r="16" spans="1:9">
      <c r="A16" s="22" t="s">
        <v>804</v>
      </c>
      <c r="B16" s="22" t="s">
        <v>551</v>
      </c>
      <c r="C16" s="6" t="s">
        <v>805</v>
      </c>
      <c r="D16" s="22">
        <v>7032493227</v>
      </c>
      <c r="F16" s="22">
        <v>40</v>
      </c>
      <c r="G16" s="22">
        <v>11</v>
      </c>
      <c r="H16" s="22">
        <v>9</v>
      </c>
      <c r="I16" s="22"/>
    </row>
    <row r="17" spans="1:9">
      <c r="A17" s="22" t="s">
        <v>567</v>
      </c>
      <c r="B17" s="22" t="s">
        <v>673</v>
      </c>
      <c r="C17" s="22" t="s">
        <v>806</v>
      </c>
      <c r="D17" s="22">
        <v>9073820255</v>
      </c>
      <c r="F17" s="22">
        <v>10</v>
      </c>
      <c r="G17" s="22">
        <v>3</v>
      </c>
      <c r="H17" s="22">
        <v>3</v>
      </c>
      <c r="I17" s="22"/>
    </row>
    <row r="18" spans="1:9">
      <c r="A18" s="22" t="s">
        <v>567</v>
      </c>
      <c r="B18" s="22" t="s">
        <v>807</v>
      </c>
      <c r="C18" s="6" t="s">
        <v>808</v>
      </c>
      <c r="D18" s="22">
        <v>4843540570</v>
      </c>
      <c r="F18" s="22">
        <v>28</v>
      </c>
      <c r="G18" s="22">
        <v>4</v>
      </c>
      <c r="H18" s="22">
        <v>8</v>
      </c>
      <c r="I18" s="22"/>
    </row>
    <row r="19" spans="1:9">
      <c r="A19" s="22" t="s">
        <v>809</v>
      </c>
      <c r="B19" s="22" t="s">
        <v>810</v>
      </c>
      <c r="C19" s="6" t="s">
        <v>811</v>
      </c>
      <c r="D19" s="22">
        <v>5719265395</v>
      </c>
      <c r="F19" s="22">
        <v>42</v>
      </c>
      <c r="G19" s="22">
        <v>12</v>
      </c>
      <c r="H19" s="22">
        <v>9</v>
      </c>
      <c r="I19" s="22"/>
    </row>
    <row r="20" spans="1:9">
      <c r="A20" s="22" t="s">
        <v>812</v>
      </c>
      <c r="B20" s="22" t="s">
        <v>813</v>
      </c>
      <c r="C20" s="6" t="s">
        <v>814</v>
      </c>
      <c r="D20" s="22" t="s">
        <v>739</v>
      </c>
      <c r="F20" s="22">
        <v>33</v>
      </c>
      <c r="G20" s="22">
        <v>11</v>
      </c>
      <c r="H20" s="22">
        <v>9</v>
      </c>
      <c r="I20" s="22"/>
    </row>
    <row r="21" spans="1:9">
      <c r="A21" s="22" t="s">
        <v>815</v>
      </c>
      <c r="B21" s="22" t="s">
        <v>816</v>
      </c>
      <c r="C21" s="6" t="s">
        <v>817</v>
      </c>
      <c r="D21" s="22">
        <v>6514031621</v>
      </c>
      <c r="F21" s="22">
        <v>27</v>
      </c>
      <c r="G21" s="22">
        <v>11</v>
      </c>
      <c r="H21" s="22">
        <v>7</v>
      </c>
      <c r="I21" s="22"/>
    </row>
    <row r="22" spans="1:9">
      <c r="A22" s="22" t="s">
        <v>502</v>
      </c>
      <c r="B22" s="22" t="s">
        <v>503</v>
      </c>
      <c r="C22" s="22" t="s">
        <v>504</v>
      </c>
      <c r="D22" s="22">
        <v>4432026636</v>
      </c>
      <c r="F22" s="22">
        <v>10</v>
      </c>
      <c r="G22" s="22">
        <v>2</v>
      </c>
      <c r="H22" s="22">
        <v>3</v>
      </c>
      <c r="I22" s="22" t="s">
        <v>818</v>
      </c>
    </row>
    <row r="23" spans="1:9">
      <c r="A23" s="22" t="s">
        <v>819</v>
      </c>
      <c r="B23" s="22" t="s">
        <v>820</v>
      </c>
      <c r="C23" s="6" t="s">
        <v>821</v>
      </c>
      <c r="D23" s="22">
        <v>8148836667</v>
      </c>
      <c r="F23" s="22">
        <v>44</v>
      </c>
      <c r="G23" s="22">
        <v>13</v>
      </c>
      <c r="H23" s="22">
        <v>6</v>
      </c>
      <c r="I23" s="22"/>
    </row>
    <row r="24" spans="1:9">
      <c r="A24" s="22" t="s">
        <v>471</v>
      </c>
      <c r="B24" s="22" t="s">
        <v>822</v>
      </c>
      <c r="C24" s="6" t="s">
        <v>823</v>
      </c>
      <c r="D24" s="22">
        <v>2158003113</v>
      </c>
      <c r="F24" s="22">
        <v>23</v>
      </c>
      <c r="G24" s="22">
        <v>9</v>
      </c>
      <c r="H24" s="22">
        <v>9</v>
      </c>
      <c r="I24" s="22"/>
    </row>
    <row r="25" spans="1:9">
      <c r="A25" s="22" t="s">
        <v>471</v>
      </c>
      <c r="B25" s="22" t="s">
        <v>824</v>
      </c>
      <c r="C25" s="6" t="s">
        <v>825</v>
      </c>
      <c r="D25" s="22" t="s">
        <v>826</v>
      </c>
      <c r="F25" s="22">
        <v>42</v>
      </c>
      <c r="G25" s="22">
        <v>12</v>
      </c>
      <c r="H25" s="22">
        <v>12</v>
      </c>
      <c r="I25" s="22"/>
    </row>
    <row r="26" spans="1:9">
      <c r="A26" s="22" t="s">
        <v>827</v>
      </c>
      <c r="B26" s="22" t="s">
        <v>828</v>
      </c>
      <c r="C26" s="6" t="s">
        <v>829</v>
      </c>
      <c r="D26" s="22" t="s">
        <v>830</v>
      </c>
      <c r="F26" s="22">
        <v>26</v>
      </c>
      <c r="G26" s="22">
        <v>5</v>
      </c>
      <c r="H26" s="22">
        <v>10</v>
      </c>
      <c r="I26" s="22"/>
    </row>
    <row r="27" spans="1:9">
      <c r="A27" s="22" t="s">
        <v>831</v>
      </c>
      <c r="B27" s="22" t="s">
        <v>832</v>
      </c>
      <c r="C27" s="6" t="s">
        <v>833</v>
      </c>
      <c r="D27" s="22">
        <v>8603387227</v>
      </c>
      <c r="F27" s="22">
        <v>45</v>
      </c>
      <c r="G27" s="22">
        <v>11</v>
      </c>
      <c r="H27" s="22">
        <v>8</v>
      </c>
      <c r="I27" s="22"/>
    </row>
    <row r="28" spans="1:9">
      <c r="A28" s="22" t="s">
        <v>834</v>
      </c>
      <c r="B28" s="22" t="s">
        <v>835</v>
      </c>
      <c r="C28" s="6" t="s">
        <v>836</v>
      </c>
      <c r="D28" s="22">
        <v>2679849437</v>
      </c>
      <c r="F28" s="22">
        <v>35</v>
      </c>
      <c r="G28" s="22">
        <v>9</v>
      </c>
      <c r="H28" s="22">
        <v>8</v>
      </c>
      <c r="I28" s="22"/>
    </row>
    <row r="29" spans="1:9">
      <c r="A29" s="22" t="s">
        <v>300</v>
      </c>
      <c r="B29" s="22" t="s">
        <v>837</v>
      </c>
      <c r="C29" s="6" t="s">
        <v>838</v>
      </c>
      <c r="D29" s="22">
        <v>2672108968</v>
      </c>
      <c r="F29" s="22">
        <v>42</v>
      </c>
      <c r="G29" s="22">
        <v>15</v>
      </c>
      <c r="H29" s="22">
        <v>6</v>
      </c>
      <c r="I29" s="22"/>
    </row>
    <row r="30" spans="1:9">
      <c r="A30" s="22" t="s">
        <v>839</v>
      </c>
      <c r="B30" s="22" t="s">
        <v>840</v>
      </c>
      <c r="C30" s="6" t="s">
        <v>841</v>
      </c>
      <c r="D30" s="22">
        <v>5202569586</v>
      </c>
      <c r="F30" s="22">
        <v>35</v>
      </c>
      <c r="G30" s="22">
        <v>8</v>
      </c>
      <c r="H30" s="22">
        <v>9</v>
      </c>
      <c r="I30" s="22"/>
    </row>
    <row r="31" spans="1:9">
      <c r="A31" s="22" t="s">
        <v>842</v>
      </c>
      <c r="B31" s="22" t="s">
        <v>843</v>
      </c>
      <c r="C31" s="6" t="s">
        <v>844</v>
      </c>
      <c r="D31" s="22">
        <v>4123521944</v>
      </c>
      <c r="F31" s="22">
        <v>11</v>
      </c>
      <c r="G31" s="22">
        <v>2</v>
      </c>
      <c r="H31" s="22">
        <v>9</v>
      </c>
      <c r="I31" s="22"/>
    </row>
    <row r="32" spans="1:9">
      <c r="A32" s="22" t="s">
        <v>845</v>
      </c>
      <c r="B32" s="22" t="s">
        <v>846</v>
      </c>
      <c r="C32" s="6" t="s">
        <v>847</v>
      </c>
      <c r="D32" s="22">
        <v>6317662672</v>
      </c>
      <c r="F32" s="22">
        <v>34</v>
      </c>
      <c r="G32" s="22">
        <v>5</v>
      </c>
      <c r="H32" s="22">
        <v>12</v>
      </c>
      <c r="I32" s="22"/>
    </row>
    <row r="33" spans="1:9">
      <c r="A33" s="22" t="s">
        <v>848</v>
      </c>
      <c r="B33" s="22" t="s">
        <v>385</v>
      </c>
      <c r="C33" s="6" t="s">
        <v>849</v>
      </c>
      <c r="D33" s="22" t="s">
        <v>739</v>
      </c>
      <c r="F33" s="22" t="s">
        <v>739</v>
      </c>
      <c r="G33" s="22">
        <v>13</v>
      </c>
      <c r="H33" s="22">
        <v>9</v>
      </c>
      <c r="I33" s="22"/>
    </row>
    <row r="34" spans="1:9">
      <c r="A34" s="22" t="s">
        <v>133</v>
      </c>
      <c r="B34" s="22" t="s">
        <v>850</v>
      </c>
      <c r="C34" s="6" t="s">
        <v>851</v>
      </c>
      <c r="D34" s="22">
        <v>6107727730</v>
      </c>
      <c r="F34" s="22">
        <v>21</v>
      </c>
      <c r="G34" s="22">
        <v>6</v>
      </c>
      <c r="H34" s="22">
        <v>11</v>
      </c>
      <c r="I34" s="22"/>
    </row>
    <row r="35" spans="1:9">
      <c r="A35" s="22" t="s">
        <v>852</v>
      </c>
      <c r="B35" s="22" t="s">
        <v>853</v>
      </c>
      <c r="C35" s="6" t="s">
        <v>854</v>
      </c>
      <c r="D35" s="22">
        <v>2677884882</v>
      </c>
      <c r="F35" s="22">
        <v>23</v>
      </c>
      <c r="G35" s="22">
        <v>6</v>
      </c>
      <c r="H35" s="22">
        <v>7</v>
      </c>
      <c r="I35" s="22"/>
    </row>
    <row r="36" spans="1:9">
      <c r="A36" s="22" t="s">
        <v>855</v>
      </c>
      <c r="B36" s="22" t="s">
        <v>856</v>
      </c>
      <c r="C36" s="22" t="s">
        <v>857</v>
      </c>
      <c r="D36" s="22" t="s">
        <v>739</v>
      </c>
      <c r="F36" s="22">
        <v>10</v>
      </c>
      <c r="G36" s="22">
        <v>3</v>
      </c>
      <c r="H36" s="22">
        <v>0</v>
      </c>
      <c r="I36" s="22"/>
    </row>
    <row r="37" spans="1:9">
      <c r="A37" s="22" t="s">
        <v>858</v>
      </c>
      <c r="B37" s="22" t="s">
        <v>859</v>
      </c>
      <c r="C37" s="6" t="s">
        <v>860</v>
      </c>
      <c r="D37" s="22">
        <v>8455000668</v>
      </c>
      <c r="F37" s="22">
        <v>47</v>
      </c>
      <c r="G37" s="22">
        <v>12</v>
      </c>
      <c r="H37" s="22">
        <v>7</v>
      </c>
      <c r="I37" s="22"/>
    </row>
    <row r="38" spans="1:9">
      <c r="A38" s="22" t="s">
        <v>510</v>
      </c>
      <c r="B38" s="22" t="s">
        <v>511</v>
      </c>
      <c r="C38" s="6" t="s">
        <v>512</v>
      </c>
      <c r="D38" s="22">
        <v>4848881974</v>
      </c>
      <c r="F38" s="22">
        <v>49</v>
      </c>
      <c r="G38" s="22">
        <v>12</v>
      </c>
      <c r="H38" s="22">
        <v>7</v>
      </c>
      <c r="I38" s="22" t="s">
        <v>818</v>
      </c>
    </row>
    <row r="39" spans="1:9">
      <c r="A39" s="22" t="s">
        <v>344</v>
      </c>
      <c r="B39" s="22" t="s">
        <v>630</v>
      </c>
      <c r="C39" s="6" t="s">
        <v>631</v>
      </c>
      <c r="D39" s="22">
        <v>2154502888</v>
      </c>
      <c r="F39" s="22">
        <v>35</v>
      </c>
      <c r="G39" s="22">
        <v>8</v>
      </c>
      <c r="H39" s="22">
        <v>8</v>
      </c>
      <c r="I39" s="22"/>
    </row>
    <row r="40" spans="1:9">
      <c r="A40" s="22" t="s">
        <v>861</v>
      </c>
      <c r="B40" s="22" t="s">
        <v>862</v>
      </c>
      <c r="C40" s="6" t="s">
        <v>863</v>
      </c>
      <c r="D40" s="22">
        <v>2672402400</v>
      </c>
      <c r="F40" s="22">
        <v>15</v>
      </c>
      <c r="G40" s="22">
        <v>2</v>
      </c>
      <c r="H40" s="22">
        <v>9</v>
      </c>
      <c r="I40" s="22"/>
    </row>
    <row r="41" spans="1:9">
      <c r="A41" s="22" t="s">
        <v>864</v>
      </c>
      <c r="B41" s="22" t="s">
        <v>865</v>
      </c>
      <c r="C41" s="6" t="s">
        <v>866</v>
      </c>
      <c r="D41" s="22">
        <v>8145156138</v>
      </c>
      <c r="F41" s="22">
        <v>19</v>
      </c>
      <c r="G41" s="22">
        <v>4</v>
      </c>
      <c r="H41" s="22">
        <v>7</v>
      </c>
      <c r="I41" s="22"/>
    </row>
    <row r="42" spans="1:9">
      <c r="A42" s="22" t="s">
        <v>867</v>
      </c>
      <c r="B42" s="22" t="s">
        <v>868</v>
      </c>
      <c r="C42" s="6" t="s">
        <v>869</v>
      </c>
      <c r="D42" s="22">
        <v>9732946955</v>
      </c>
      <c r="F42" s="22">
        <v>17</v>
      </c>
      <c r="G42" s="22">
        <v>4</v>
      </c>
      <c r="H42" s="22">
        <v>9</v>
      </c>
      <c r="I42" s="22"/>
    </row>
    <row r="43" spans="1:9">
      <c r="A43" s="22" t="s">
        <v>870</v>
      </c>
      <c r="B43" s="22" t="s">
        <v>871</v>
      </c>
      <c r="C43" s="22" t="s">
        <v>872</v>
      </c>
      <c r="D43" s="22">
        <v>8147775552</v>
      </c>
      <c r="F43" s="22">
        <v>12</v>
      </c>
      <c r="G43" s="22">
        <v>0</v>
      </c>
      <c r="H43" s="22">
        <v>0</v>
      </c>
      <c r="I43" s="22"/>
    </row>
    <row r="44" spans="1:9">
      <c r="A44" s="22" t="s">
        <v>873</v>
      </c>
      <c r="B44" s="22" t="s">
        <v>874</v>
      </c>
      <c r="C44" s="6" t="s">
        <v>875</v>
      </c>
      <c r="D44" s="22" t="s">
        <v>739</v>
      </c>
      <c r="F44" s="22" t="s">
        <v>739</v>
      </c>
      <c r="G44" s="22">
        <v>2</v>
      </c>
      <c r="H44" s="22">
        <v>7</v>
      </c>
      <c r="I44" s="22"/>
    </row>
    <row r="45" spans="1:9">
      <c r="A45" s="22" t="s">
        <v>633</v>
      </c>
      <c r="B45" s="22" t="s">
        <v>634</v>
      </c>
      <c r="C45" s="22" t="s">
        <v>635</v>
      </c>
      <c r="D45" s="22">
        <v>4847074013</v>
      </c>
      <c r="F45" s="22">
        <v>9</v>
      </c>
      <c r="G45" s="22">
        <v>0</v>
      </c>
      <c r="H45" s="22">
        <v>0</v>
      </c>
      <c r="I45" s="22"/>
    </row>
    <row r="46" spans="1:9">
      <c r="A46" s="22" t="s">
        <v>876</v>
      </c>
      <c r="B46" s="22" t="s">
        <v>877</v>
      </c>
      <c r="C46" s="6" t="s">
        <v>878</v>
      </c>
      <c r="D46" s="22">
        <v>6313880117</v>
      </c>
      <c r="F46" s="22">
        <v>42</v>
      </c>
      <c r="G46" s="22">
        <v>8</v>
      </c>
      <c r="H46" s="22">
        <v>10</v>
      </c>
      <c r="I46" s="22"/>
    </row>
    <row r="47" spans="1:9">
      <c r="A47" s="22" t="s">
        <v>879</v>
      </c>
      <c r="B47" s="22" t="s">
        <v>880</v>
      </c>
      <c r="C47" s="22" t="s">
        <v>881</v>
      </c>
      <c r="D47" s="22">
        <v>4696471064</v>
      </c>
      <c r="F47" s="22">
        <v>3</v>
      </c>
      <c r="G47" s="22">
        <v>1</v>
      </c>
      <c r="H47" s="22">
        <v>0</v>
      </c>
      <c r="I47" s="22"/>
    </row>
    <row r="48" spans="1:9">
      <c r="A48" s="22" t="s">
        <v>879</v>
      </c>
      <c r="B48" s="22" t="s">
        <v>882</v>
      </c>
      <c r="C48" s="6" t="s">
        <v>883</v>
      </c>
      <c r="D48" s="22">
        <v>2678853696</v>
      </c>
      <c r="F48" s="22">
        <v>42</v>
      </c>
      <c r="G48" s="22">
        <v>8</v>
      </c>
      <c r="H48" s="22">
        <v>7</v>
      </c>
      <c r="I48" s="22"/>
    </row>
    <row r="49" spans="1:9">
      <c r="A49" s="22" t="s">
        <v>879</v>
      </c>
      <c r="B49" s="22" t="s">
        <v>315</v>
      </c>
      <c r="C49" s="6" t="s">
        <v>884</v>
      </c>
      <c r="D49" s="22" t="s">
        <v>885</v>
      </c>
      <c r="F49" s="22">
        <v>22</v>
      </c>
      <c r="G49" s="22">
        <v>7</v>
      </c>
      <c r="H49" s="22">
        <v>12</v>
      </c>
      <c r="I49" s="22"/>
    </row>
    <row r="50" spans="1:9">
      <c r="A50" s="22" t="s">
        <v>497</v>
      </c>
      <c r="B50" s="22" t="s">
        <v>252</v>
      </c>
      <c r="C50" s="6" t="s">
        <v>500</v>
      </c>
      <c r="D50" s="22">
        <v>5702382936</v>
      </c>
      <c r="F50" s="22">
        <v>37</v>
      </c>
      <c r="G50" s="22">
        <v>8</v>
      </c>
      <c r="H50" s="22">
        <v>11</v>
      </c>
      <c r="I50" s="22" t="s">
        <v>886</v>
      </c>
    </row>
    <row r="51" spans="1:9">
      <c r="A51" s="22" t="s">
        <v>497</v>
      </c>
      <c r="B51" s="22" t="s">
        <v>498</v>
      </c>
      <c r="C51" s="6" t="s">
        <v>499</v>
      </c>
      <c r="D51" s="22" t="s">
        <v>739</v>
      </c>
      <c r="F51" s="22">
        <v>35</v>
      </c>
      <c r="G51" s="22" t="s">
        <v>887</v>
      </c>
      <c r="H51" s="22">
        <v>7</v>
      </c>
      <c r="I51" s="22" t="s">
        <v>818</v>
      </c>
    </row>
    <row r="52" spans="1:9">
      <c r="A52" s="22" t="s">
        <v>888</v>
      </c>
      <c r="B52" s="22" t="s">
        <v>889</v>
      </c>
      <c r="C52" s="22" t="s">
        <v>890</v>
      </c>
      <c r="D52" s="22">
        <v>2697439021</v>
      </c>
      <c r="F52" s="22">
        <v>5</v>
      </c>
      <c r="G52" s="22">
        <v>0</v>
      </c>
      <c r="H52" s="22">
        <v>0</v>
      </c>
      <c r="I52" s="22"/>
    </row>
    <row r="53" spans="1:9">
      <c r="A53" s="22" t="s">
        <v>888</v>
      </c>
      <c r="B53" s="22" t="s">
        <v>891</v>
      </c>
      <c r="C53" s="6" t="s">
        <v>892</v>
      </c>
      <c r="D53" s="22">
        <v>7175718810</v>
      </c>
      <c r="F53" s="22">
        <v>24</v>
      </c>
      <c r="G53" s="22">
        <v>3</v>
      </c>
      <c r="H53" s="22">
        <v>8</v>
      </c>
      <c r="I53" s="22"/>
    </row>
    <row r="54" spans="1:9">
      <c r="A54" s="22" t="s">
        <v>893</v>
      </c>
      <c r="B54" s="22" t="s">
        <v>894</v>
      </c>
      <c r="C54" s="6" t="s">
        <v>895</v>
      </c>
      <c r="D54" s="22">
        <v>8145911868</v>
      </c>
      <c r="F54" s="22">
        <v>47</v>
      </c>
      <c r="G54" s="22">
        <v>16</v>
      </c>
      <c r="H54" s="22">
        <v>12</v>
      </c>
      <c r="I54" s="22"/>
    </row>
    <row r="55" spans="1:9">
      <c r="A55" s="22" t="s">
        <v>515</v>
      </c>
      <c r="B55" s="22" t="s">
        <v>516</v>
      </c>
      <c r="C55" s="6" t="s">
        <v>517</v>
      </c>
      <c r="D55" s="22">
        <v>9739432788</v>
      </c>
      <c r="F55" s="22">
        <v>48</v>
      </c>
      <c r="G55" s="22">
        <v>15</v>
      </c>
      <c r="H55" s="22">
        <v>11</v>
      </c>
      <c r="I55" s="22" t="s">
        <v>886</v>
      </c>
    </row>
    <row r="56" spans="1:9">
      <c r="A56" s="22" t="s">
        <v>536</v>
      </c>
      <c r="B56" s="22" t="s">
        <v>537</v>
      </c>
      <c r="C56" s="6" t="s">
        <v>538</v>
      </c>
      <c r="D56" s="22">
        <v>8627039954</v>
      </c>
      <c r="F56" s="22">
        <v>33</v>
      </c>
      <c r="G56" s="22">
        <v>8</v>
      </c>
      <c r="H56" s="22">
        <v>9</v>
      </c>
      <c r="I56" s="22" t="s">
        <v>896</v>
      </c>
    </row>
    <row r="57" spans="1:9">
      <c r="A57" s="22" t="s">
        <v>494</v>
      </c>
      <c r="B57" s="22" t="s">
        <v>495</v>
      </c>
      <c r="C57" s="22" t="s">
        <v>496</v>
      </c>
      <c r="D57" s="22">
        <v>2157671753</v>
      </c>
      <c r="F57" s="22">
        <v>5</v>
      </c>
      <c r="G57" s="22">
        <v>1</v>
      </c>
      <c r="H57" s="22">
        <v>3</v>
      </c>
      <c r="I57" s="22" t="s">
        <v>896</v>
      </c>
    </row>
    <row r="58" spans="1:9">
      <c r="A58" s="22" t="s">
        <v>97</v>
      </c>
      <c r="B58" s="22" t="s">
        <v>897</v>
      </c>
      <c r="C58" s="6" t="s">
        <v>898</v>
      </c>
      <c r="D58" s="22" t="s">
        <v>739</v>
      </c>
      <c r="F58" s="22">
        <v>17</v>
      </c>
      <c r="G58" s="22">
        <v>6</v>
      </c>
      <c r="H58" s="22">
        <v>9</v>
      </c>
      <c r="I58" s="22"/>
    </row>
    <row r="59" spans="1:9">
      <c r="A59" s="22" t="s">
        <v>97</v>
      </c>
      <c r="B59" s="22" t="s">
        <v>899</v>
      </c>
      <c r="C59" s="6" t="s">
        <v>900</v>
      </c>
      <c r="D59" s="22">
        <v>3025420404</v>
      </c>
      <c r="F59" s="22">
        <v>13</v>
      </c>
      <c r="G59" s="22">
        <v>2</v>
      </c>
      <c r="H59" s="22">
        <v>7</v>
      </c>
      <c r="I59" s="22"/>
    </row>
    <row r="60" spans="1:9">
      <c r="A60" s="22" t="s">
        <v>97</v>
      </c>
      <c r="B60" s="22" t="s">
        <v>491</v>
      </c>
      <c r="C60" s="6" t="s">
        <v>901</v>
      </c>
      <c r="D60" s="22">
        <v>3144229228</v>
      </c>
      <c r="F60" s="22">
        <v>46</v>
      </c>
      <c r="G60" s="22">
        <v>11</v>
      </c>
      <c r="H60" s="22">
        <v>10</v>
      </c>
      <c r="I60" s="22" t="s">
        <v>818</v>
      </c>
    </row>
    <row r="61" spans="1:9">
      <c r="A61" s="22" t="s">
        <v>508</v>
      </c>
      <c r="B61" s="22" t="s">
        <v>485</v>
      </c>
      <c r="C61" s="22" t="s">
        <v>509</v>
      </c>
      <c r="D61" s="22">
        <v>6462509698</v>
      </c>
      <c r="F61" s="22">
        <v>7</v>
      </c>
      <c r="G61" s="22">
        <v>1</v>
      </c>
      <c r="H61" s="22">
        <v>1</v>
      </c>
      <c r="I61" s="22" t="s">
        <v>896</v>
      </c>
    </row>
    <row r="62" spans="1:9">
      <c r="A62" s="22" t="s">
        <v>508</v>
      </c>
      <c r="B62" s="22" t="s">
        <v>902</v>
      </c>
      <c r="C62" s="6" t="s">
        <v>903</v>
      </c>
      <c r="D62" s="22">
        <v>4845421342</v>
      </c>
      <c r="F62" s="22">
        <v>42</v>
      </c>
      <c r="G62" s="22">
        <v>11</v>
      </c>
      <c r="H62" s="22">
        <v>7</v>
      </c>
      <c r="I62" s="22"/>
    </row>
    <row r="63" spans="1:9">
      <c r="A63" s="22" t="s">
        <v>904</v>
      </c>
      <c r="B63" s="22" t="s">
        <v>905</v>
      </c>
      <c r="C63" s="6" t="s">
        <v>906</v>
      </c>
      <c r="D63" s="22">
        <v>4104435957</v>
      </c>
      <c r="F63" s="22">
        <v>16</v>
      </c>
      <c r="G63" s="22">
        <v>2</v>
      </c>
      <c r="H63" s="22">
        <v>7</v>
      </c>
      <c r="I63" s="22"/>
    </row>
    <row r="64" spans="1:9">
      <c r="A64" s="22" t="s">
        <v>907</v>
      </c>
      <c r="B64" s="22" t="s">
        <v>908</v>
      </c>
      <c r="C64" s="22" t="s">
        <v>909</v>
      </c>
      <c r="D64" s="22">
        <v>5703364488</v>
      </c>
      <c r="F64" s="22">
        <v>8</v>
      </c>
      <c r="G64" s="22">
        <v>3</v>
      </c>
      <c r="H64" s="22">
        <v>1</v>
      </c>
      <c r="I64" s="22"/>
    </row>
    <row r="65" spans="1:8">
      <c r="A65" s="22" t="s">
        <v>910</v>
      </c>
      <c r="B65" s="22" t="s">
        <v>911</v>
      </c>
      <c r="C65" s="22" t="s">
        <v>912</v>
      </c>
      <c r="D65" s="22">
        <v>6106393999</v>
      </c>
      <c r="F65" s="22">
        <v>12</v>
      </c>
      <c r="G65" s="22">
        <v>1</v>
      </c>
      <c r="H65" s="22">
        <v>2</v>
      </c>
    </row>
    <row r="66" spans="1:8">
      <c r="A66" s="22" t="s">
        <v>913</v>
      </c>
      <c r="B66" s="22" t="s">
        <v>914</v>
      </c>
      <c r="C66" s="6" t="s">
        <v>915</v>
      </c>
      <c r="D66" s="22">
        <v>3016414156</v>
      </c>
      <c r="F66" s="22">
        <v>18</v>
      </c>
      <c r="G66" s="22">
        <v>3</v>
      </c>
      <c r="H66" s="22">
        <v>10</v>
      </c>
    </row>
    <row r="67" spans="1:8">
      <c r="A67" s="22" t="s">
        <v>916</v>
      </c>
      <c r="B67" s="22" t="s">
        <v>917</v>
      </c>
      <c r="C67" s="22" t="s">
        <v>918</v>
      </c>
      <c r="D67" s="22">
        <v>5165438692</v>
      </c>
      <c r="F67" s="22">
        <v>9</v>
      </c>
      <c r="G67" s="22">
        <v>2</v>
      </c>
      <c r="H67" s="22">
        <v>1</v>
      </c>
    </row>
    <row r="68" spans="1:8">
      <c r="A68" s="22" t="s">
        <v>919</v>
      </c>
      <c r="B68" s="22" t="s">
        <v>920</v>
      </c>
      <c r="C68" s="6" t="s">
        <v>921</v>
      </c>
      <c r="D68" s="22">
        <v>7864007553</v>
      </c>
      <c r="F68" s="22">
        <v>36</v>
      </c>
      <c r="G68" s="22">
        <v>9</v>
      </c>
      <c r="H68" s="22">
        <v>10</v>
      </c>
    </row>
    <row r="69" spans="1:8">
      <c r="A69" s="22" t="s">
        <v>922</v>
      </c>
      <c r="B69" s="22" t="s">
        <v>923</v>
      </c>
      <c r="C69" s="6" t="s">
        <v>924</v>
      </c>
      <c r="D69" s="22">
        <v>9732718933</v>
      </c>
      <c r="F69" s="22">
        <v>27</v>
      </c>
      <c r="G69" s="22">
        <v>7</v>
      </c>
      <c r="H69" s="22">
        <v>7</v>
      </c>
    </row>
    <row r="70" spans="1:8">
      <c r="A70" s="22" t="s">
        <v>925</v>
      </c>
      <c r="B70" s="22" t="s">
        <v>926</v>
      </c>
      <c r="C70" s="22" t="s">
        <v>927</v>
      </c>
      <c r="D70" s="22">
        <v>2485359944</v>
      </c>
      <c r="F70" s="22">
        <v>11</v>
      </c>
      <c r="G70" s="22">
        <v>0</v>
      </c>
      <c r="H70" s="22">
        <v>0</v>
      </c>
    </row>
    <row r="71" spans="1:8">
      <c r="A71" s="22" t="s">
        <v>928</v>
      </c>
      <c r="B71" s="22" t="s">
        <v>929</v>
      </c>
      <c r="C71" s="6" t="s">
        <v>930</v>
      </c>
      <c r="D71" s="22">
        <v>7248140967</v>
      </c>
      <c r="F71" s="22">
        <v>36</v>
      </c>
      <c r="G71" s="22">
        <v>6</v>
      </c>
      <c r="H71" s="22">
        <v>8</v>
      </c>
    </row>
    <row r="72" spans="1:8">
      <c r="A72" s="22" t="s">
        <v>931</v>
      </c>
      <c r="B72" s="22" t="s">
        <v>485</v>
      </c>
      <c r="C72" s="22" t="s">
        <v>932</v>
      </c>
      <c r="D72" s="22" t="s">
        <v>739</v>
      </c>
      <c r="F72" s="22">
        <v>7</v>
      </c>
      <c r="G72" s="22">
        <v>3</v>
      </c>
      <c r="H72" s="22">
        <v>1</v>
      </c>
    </row>
    <row r="73" spans="1:8">
      <c r="A73" s="22" t="s">
        <v>933</v>
      </c>
      <c r="B73" s="22" t="s">
        <v>934</v>
      </c>
      <c r="C73" s="6" t="s">
        <v>935</v>
      </c>
      <c r="D73" s="22">
        <v>2677724241</v>
      </c>
      <c r="F73" s="22">
        <v>35</v>
      </c>
      <c r="G73" s="22">
        <v>9</v>
      </c>
      <c r="H73" s="22">
        <v>7</v>
      </c>
    </row>
    <row r="74" spans="1:8">
      <c r="A74" s="22" t="s">
        <v>936</v>
      </c>
      <c r="B74" s="22" t="s">
        <v>937</v>
      </c>
      <c r="C74" s="6" t="s">
        <v>938</v>
      </c>
      <c r="D74" s="22">
        <v>2152988837</v>
      </c>
      <c r="F74" s="22" t="s">
        <v>739</v>
      </c>
      <c r="G74" s="22">
        <v>12</v>
      </c>
      <c r="H74" s="22">
        <v>8</v>
      </c>
    </row>
    <row r="75" spans="1:8">
      <c r="A75" s="22" t="s">
        <v>939</v>
      </c>
      <c r="B75" s="22" t="s">
        <v>940</v>
      </c>
      <c r="C75" s="6" t="s">
        <v>941</v>
      </c>
      <c r="D75" s="22">
        <v>7087523606</v>
      </c>
      <c r="F75" s="22">
        <v>47</v>
      </c>
      <c r="G75" s="22">
        <v>14</v>
      </c>
      <c r="H75" s="22">
        <v>10</v>
      </c>
    </row>
    <row r="76" spans="1:8">
      <c r="A76" s="22" t="s">
        <v>942</v>
      </c>
      <c r="B76" s="22" t="s">
        <v>943</v>
      </c>
      <c r="C76" s="6" t="s">
        <v>944</v>
      </c>
      <c r="D76" s="22">
        <v>6108041371</v>
      </c>
      <c r="F76" s="22">
        <v>31</v>
      </c>
      <c r="G76" s="22">
        <v>7</v>
      </c>
      <c r="H76" s="22">
        <v>7</v>
      </c>
    </row>
    <row r="77" spans="1:8">
      <c r="A77" s="22" t="s">
        <v>625</v>
      </c>
      <c r="B77" s="22" t="s">
        <v>626</v>
      </c>
      <c r="C77" s="22" t="s">
        <v>627</v>
      </c>
      <c r="D77" s="22" t="s">
        <v>628</v>
      </c>
      <c r="F77" s="22">
        <v>10</v>
      </c>
      <c r="G77" s="22">
        <v>0</v>
      </c>
      <c r="H77" s="22">
        <v>0</v>
      </c>
    </row>
    <row r="78" spans="1:8">
      <c r="A78" s="22" t="s">
        <v>945</v>
      </c>
      <c r="B78" s="22" t="s">
        <v>946</v>
      </c>
      <c r="C78" s="6" t="s">
        <v>947</v>
      </c>
      <c r="D78" s="22" t="s">
        <v>739</v>
      </c>
      <c r="F78" s="22">
        <v>17</v>
      </c>
      <c r="G78" s="22">
        <v>4</v>
      </c>
      <c r="H78" s="22">
        <v>8</v>
      </c>
    </row>
    <row r="79" spans="1:8">
      <c r="A79" s="22" t="s">
        <v>948</v>
      </c>
      <c r="B79" s="22" t="s">
        <v>949</v>
      </c>
      <c r="C79" s="6" t="s">
        <v>950</v>
      </c>
      <c r="D79" s="22">
        <v>8148628499</v>
      </c>
      <c r="F79" s="22">
        <v>47</v>
      </c>
      <c r="G79" s="22">
        <v>13</v>
      </c>
      <c r="H79" s="22">
        <v>6</v>
      </c>
    </row>
    <row r="80" spans="1:8">
      <c r="A80" s="22" t="s">
        <v>951</v>
      </c>
      <c r="B80" s="22" t="s">
        <v>76</v>
      </c>
      <c r="C80" s="22" t="s">
        <v>952</v>
      </c>
      <c r="D80" s="22">
        <v>8148801572</v>
      </c>
      <c r="F80" s="22">
        <v>12</v>
      </c>
      <c r="G80" s="22">
        <v>3</v>
      </c>
      <c r="H80" s="22">
        <v>0</v>
      </c>
    </row>
    <row r="81" spans="1:8">
      <c r="A81" s="22" t="s">
        <v>953</v>
      </c>
      <c r="B81" s="22" t="s">
        <v>954</v>
      </c>
      <c r="C81" s="6" t="s">
        <v>955</v>
      </c>
      <c r="D81" s="22" t="s">
        <v>956</v>
      </c>
      <c r="F81" s="22">
        <v>25</v>
      </c>
      <c r="G81" s="22">
        <v>7</v>
      </c>
      <c r="H81" s="22">
        <v>7</v>
      </c>
    </row>
    <row r="82" spans="1:8">
      <c r="A82" s="22" t="s">
        <v>957</v>
      </c>
      <c r="B82" s="22" t="s">
        <v>958</v>
      </c>
      <c r="C82" s="6" t="s">
        <v>959</v>
      </c>
      <c r="D82" s="22">
        <v>2157712033</v>
      </c>
      <c r="F82" s="22">
        <v>31</v>
      </c>
      <c r="G82" s="22">
        <v>10</v>
      </c>
      <c r="H82" s="22">
        <v>9</v>
      </c>
    </row>
    <row r="83" spans="1:8">
      <c r="A83" s="22" t="s">
        <v>960</v>
      </c>
      <c r="B83" s="22" t="s">
        <v>961</v>
      </c>
      <c r="C83" s="6" t="s">
        <v>962</v>
      </c>
      <c r="D83" s="22">
        <v>2159642745</v>
      </c>
      <c r="F83" s="22">
        <v>45</v>
      </c>
      <c r="G83" s="22">
        <v>14</v>
      </c>
      <c r="H83" s="22">
        <v>8</v>
      </c>
    </row>
    <row r="84" spans="1:8">
      <c r="A84" s="22" t="s">
        <v>963</v>
      </c>
      <c r="B84" s="22" t="s">
        <v>680</v>
      </c>
      <c r="C84" s="22" t="s">
        <v>964</v>
      </c>
      <c r="D84" s="22" t="s">
        <v>739</v>
      </c>
      <c r="F84" s="22">
        <v>12</v>
      </c>
      <c r="G84" s="22">
        <v>3</v>
      </c>
      <c r="H84" s="22">
        <v>3</v>
      </c>
    </row>
    <row r="85" spans="1:8">
      <c r="A85" s="22" t="s">
        <v>965</v>
      </c>
      <c r="B85" s="22" t="s">
        <v>966</v>
      </c>
      <c r="C85" s="6" t="s">
        <v>967</v>
      </c>
      <c r="D85" s="22">
        <v>9732296230</v>
      </c>
      <c r="F85" s="22">
        <v>16</v>
      </c>
      <c r="G85" s="22">
        <v>5</v>
      </c>
      <c r="H85" s="22">
        <v>8</v>
      </c>
    </row>
    <row r="86" spans="1:8">
      <c r="A86" s="22" t="s">
        <v>968</v>
      </c>
      <c r="B86" s="22" t="s">
        <v>67</v>
      </c>
      <c r="C86" s="22" t="s">
        <v>969</v>
      </c>
      <c r="D86" s="22">
        <v>6102412780</v>
      </c>
      <c r="F86" s="22">
        <v>3</v>
      </c>
      <c r="G86" s="22">
        <v>0</v>
      </c>
      <c r="H86" s="22">
        <v>2</v>
      </c>
    </row>
    <row r="87" spans="1:8">
      <c r="A87" s="22" t="s">
        <v>149</v>
      </c>
      <c r="B87" s="22" t="s">
        <v>970</v>
      </c>
      <c r="C87" s="6" t="s">
        <v>971</v>
      </c>
      <c r="D87" s="22" t="s">
        <v>972</v>
      </c>
      <c r="F87" s="22">
        <v>20</v>
      </c>
      <c r="G87" s="22">
        <v>6</v>
      </c>
      <c r="H87" s="22">
        <v>10</v>
      </c>
    </row>
    <row r="88" spans="1:8">
      <c r="A88" s="22" t="s">
        <v>149</v>
      </c>
      <c r="B88" s="22" t="s">
        <v>973</v>
      </c>
      <c r="C88" s="6" t="s">
        <v>974</v>
      </c>
      <c r="D88" s="22" t="s">
        <v>975</v>
      </c>
      <c r="F88" s="22" t="s">
        <v>739</v>
      </c>
      <c r="G88" s="22" t="s">
        <v>739</v>
      </c>
      <c r="H88" s="22">
        <v>9</v>
      </c>
    </row>
    <row r="89" spans="1:8">
      <c r="A89" s="22" t="s">
        <v>149</v>
      </c>
      <c r="B89" s="22" t="s">
        <v>976</v>
      </c>
      <c r="C89" s="6" t="s">
        <v>977</v>
      </c>
      <c r="D89" s="22">
        <v>8146889826</v>
      </c>
      <c r="F89" s="22">
        <v>43</v>
      </c>
      <c r="G89" s="22">
        <v>10</v>
      </c>
      <c r="H89" s="22">
        <v>9</v>
      </c>
    </row>
    <row r="90" spans="1:8">
      <c r="A90" s="22" t="s">
        <v>149</v>
      </c>
      <c r="B90" s="22" t="s">
        <v>978</v>
      </c>
      <c r="C90" s="6" t="s">
        <v>979</v>
      </c>
      <c r="D90" s="22" t="s">
        <v>980</v>
      </c>
      <c r="F90" s="22">
        <v>24</v>
      </c>
      <c r="G90" s="22">
        <v>7</v>
      </c>
      <c r="H90" s="22">
        <v>9</v>
      </c>
    </row>
    <row r="91" spans="1:8">
      <c r="A91" s="22" t="s">
        <v>589</v>
      </c>
      <c r="B91" s="22" t="s">
        <v>981</v>
      </c>
      <c r="C91" s="6" t="s">
        <v>982</v>
      </c>
      <c r="D91" s="22">
        <v>5703524085</v>
      </c>
      <c r="F91" s="22">
        <v>48</v>
      </c>
      <c r="G91" s="22">
        <v>14</v>
      </c>
      <c r="H91" s="22">
        <v>9</v>
      </c>
    </row>
    <row r="92" spans="1:8">
      <c r="A92" s="22" t="s">
        <v>589</v>
      </c>
      <c r="B92" s="22" t="s">
        <v>983</v>
      </c>
      <c r="C92" s="6" t="s">
        <v>984</v>
      </c>
      <c r="D92" s="22">
        <v>2154310765</v>
      </c>
      <c r="F92" s="22">
        <v>52</v>
      </c>
      <c r="G92" s="22">
        <v>13</v>
      </c>
      <c r="H92" s="22">
        <v>9</v>
      </c>
    </row>
    <row r="93" spans="1:8">
      <c r="A93" s="22" t="s">
        <v>589</v>
      </c>
      <c r="B93" s="22" t="s">
        <v>985</v>
      </c>
      <c r="C93" s="6" t="s">
        <v>986</v>
      </c>
      <c r="D93" s="22">
        <v>4127605541</v>
      </c>
      <c r="F93" s="22">
        <v>24</v>
      </c>
      <c r="G93" s="22">
        <v>2</v>
      </c>
      <c r="H93" s="22">
        <v>11</v>
      </c>
    </row>
    <row r="94" spans="1:8">
      <c r="A94" s="22" t="s">
        <v>589</v>
      </c>
      <c r="B94" s="22" t="s">
        <v>642</v>
      </c>
      <c r="C94" s="6" t="s">
        <v>643</v>
      </c>
      <c r="D94" s="22">
        <v>5407794441</v>
      </c>
      <c r="F94" s="22">
        <v>31</v>
      </c>
      <c r="G94" s="22">
        <v>10</v>
      </c>
      <c r="H94" s="22">
        <v>8</v>
      </c>
    </row>
    <row r="95" spans="1:8">
      <c r="A95" s="22" t="s">
        <v>987</v>
      </c>
      <c r="B95" s="22" t="s">
        <v>988</v>
      </c>
      <c r="C95" s="6" t="s">
        <v>989</v>
      </c>
      <c r="D95" s="22" t="s">
        <v>990</v>
      </c>
      <c r="F95" s="22">
        <v>46</v>
      </c>
      <c r="G95" s="22">
        <v>14</v>
      </c>
      <c r="H95" s="22">
        <v>5</v>
      </c>
    </row>
    <row r="96" spans="1:8">
      <c r="A96" s="22" t="s">
        <v>991</v>
      </c>
      <c r="B96" s="22" t="s">
        <v>620</v>
      </c>
      <c r="C96" s="6" t="s">
        <v>621</v>
      </c>
      <c r="D96" s="22" t="s">
        <v>739</v>
      </c>
      <c r="F96" s="22">
        <v>31</v>
      </c>
      <c r="G96" s="22">
        <v>8</v>
      </c>
      <c r="H96" s="22">
        <v>9</v>
      </c>
    </row>
    <row r="97" spans="1:8">
      <c r="A97" s="22" t="s">
        <v>104</v>
      </c>
      <c r="B97" s="22" t="s">
        <v>992</v>
      </c>
      <c r="C97" s="6" t="s">
        <v>993</v>
      </c>
      <c r="D97" s="22" t="s">
        <v>994</v>
      </c>
      <c r="F97" s="22">
        <v>27</v>
      </c>
      <c r="G97" s="22">
        <v>4</v>
      </c>
      <c r="H97" s="22">
        <v>7</v>
      </c>
    </row>
    <row r="98" spans="1:8">
      <c r="A98" s="22" t="s">
        <v>104</v>
      </c>
      <c r="B98" s="22" t="s">
        <v>995</v>
      </c>
      <c r="C98" s="6" t="s">
        <v>996</v>
      </c>
      <c r="D98" s="22">
        <v>9082395443</v>
      </c>
      <c r="F98" s="22">
        <v>55</v>
      </c>
      <c r="G98" s="22">
        <v>16</v>
      </c>
      <c r="H98" s="22">
        <v>10</v>
      </c>
    </row>
    <row r="99" spans="1:8">
      <c r="A99" s="22" t="s">
        <v>60</v>
      </c>
      <c r="B99" s="22" t="s">
        <v>997</v>
      </c>
      <c r="C99" s="6" t="s">
        <v>998</v>
      </c>
      <c r="D99" s="22">
        <v>7723339444</v>
      </c>
      <c r="F99" s="22">
        <v>15</v>
      </c>
      <c r="G99" s="22">
        <v>3</v>
      </c>
      <c r="H99" s="22">
        <v>8</v>
      </c>
    </row>
    <row r="100" spans="1:8">
      <c r="A100" s="22" t="s">
        <v>999</v>
      </c>
      <c r="B100" s="22" t="s">
        <v>1000</v>
      </c>
      <c r="C100" s="22" t="s">
        <v>1001</v>
      </c>
      <c r="D100" s="22">
        <v>7174873858</v>
      </c>
      <c r="F100" s="22">
        <v>12</v>
      </c>
      <c r="G100" s="22">
        <v>0</v>
      </c>
      <c r="H100" s="22">
        <v>3</v>
      </c>
    </row>
    <row r="101" spans="1:8">
      <c r="A101" s="22" t="s">
        <v>1002</v>
      </c>
      <c r="B101" s="22" t="s">
        <v>1003</v>
      </c>
      <c r="C101" s="22" t="s">
        <v>1004</v>
      </c>
      <c r="D101" s="22" t="s">
        <v>739</v>
      </c>
      <c r="F101" s="22">
        <v>9</v>
      </c>
      <c r="G101" s="22">
        <v>2</v>
      </c>
      <c r="H101" s="22">
        <v>0</v>
      </c>
    </row>
    <row r="102" spans="1:8">
      <c r="A102" s="22" t="s">
        <v>1005</v>
      </c>
      <c r="B102" s="22" t="s">
        <v>1006</v>
      </c>
      <c r="C102" s="6" t="s">
        <v>1007</v>
      </c>
      <c r="D102" s="22">
        <v>7032317446</v>
      </c>
      <c r="F102" s="22">
        <v>45</v>
      </c>
      <c r="G102" s="22">
        <v>15</v>
      </c>
      <c r="H102" s="22">
        <v>12</v>
      </c>
    </row>
    <row r="103" spans="1:8">
      <c r="A103" s="22" t="s">
        <v>1008</v>
      </c>
      <c r="B103" s="22" t="s">
        <v>1009</v>
      </c>
      <c r="C103" s="6" t="s">
        <v>1010</v>
      </c>
      <c r="D103" s="22" t="s">
        <v>739</v>
      </c>
      <c r="F103" s="22">
        <v>29</v>
      </c>
      <c r="G103" s="22">
        <v>10</v>
      </c>
      <c r="H103" s="22">
        <v>9</v>
      </c>
    </row>
    <row r="104" spans="1:8">
      <c r="A104" s="22" t="s">
        <v>622</v>
      </c>
      <c r="B104" s="22" t="s">
        <v>1011</v>
      </c>
      <c r="C104" s="6" t="s">
        <v>1012</v>
      </c>
      <c r="D104" s="22">
        <v>7178501184</v>
      </c>
      <c r="F104" s="22">
        <v>37</v>
      </c>
      <c r="G104" s="22">
        <v>9</v>
      </c>
      <c r="H104" s="22">
        <v>10</v>
      </c>
    </row>
    <row r="105" spans="1:8">
      <c r="A105" s="22" t="s">
        <v>622</v>
      </c>
      <c r="B105" s="22" t="s">
        <v>623</v>
      </c>
      <c r="C105" s="6" t="s">
        <v>624</v>
      </c>
      <c r="D105" s="22">
        <v>6143130839</v>
      </c>
      <c r="F105" s="22">
        <v>39</v>
      </c>
      <c r="G105" s="22">
        <v>6</v>
      </c>
      <c r="H105" s="22">
        <v>8</v>
      </c>
    </row>
    <row r="106" spans="1:8">
      <c r="A106" s="22" t="s">
        <v>622</v>
      </c>
      <c r="B106" s="22" t="s">
        <v>1013</v>
      </c>
      <c r="C106" s="6" t="s">
        <v>1014</v>
      </c>
      <c r="D106" s="22" t="s">
        <v>1015</v>
      </c>
      <c r="F106" s="22">
        <v>33</v>
      </c>
      <c r="G106" s="22">
        <v>8</v>
      </c>
      <c r="H106" s="22">
        <v>8</v>
      </c>
    </row>
    <row r="107" spans="1:8">
      <c r="A107" s="22" t="s">
        <v>1016</v>
      </c>
      <c r="B107" s="22" t="s">
        <v>1017</v>
      </c>
      <c r="C107" s="6" t="s">
        <v>1018</v>
      </c>
      <c r="D107" s="22">
        <v>2158597862</v>
      </c>
      <c r="F107" s="22">
        <v>26</v>
      </c>
      <c r="G107" s="22">
        <v>8</v>
      </c>
      <c r="H107" s="22">
        <v>8</v>
      </c>
    </row>
    <row r="108" spans="1:8">
      <c r="A108" s="22" t="s">
        <v>1019</v>
      </c>
      <c r="B108" s="22" t="s">
        <v>1020</v>
      </c>
      <c r="C108" s="22" t="s">
        <v>1021</v>
      </c>
      <c r="D108" s="22">
        <v>9196000195</v>
      </c>
      <c r="F108" s="22">
        <v>7</v>
      </c>
      <c r="G108" s="22">
        <v>0</v>
      </c>
      <c r="H108" s="22">
        <v>1</v>
      </c>
    </row>
    <row r="109" spans="1:8">
      <c r="A109" s="22" t="s">
        <v>75</v>
      </c>
      <c r="B109" s="22" t="s">
        <v>1022</v>
      </c>
      <c r="C109" s="6" t="s">
        <v>1023</v>
      </c>
      <c r="D109" s="22">
        <v>5704062978</v>
      </c>
      <c r="F109" s="22">
        <v>25</v>
      </c>
      <c r="G109" s="22">
        <v>7</v>
      </c>
      <c r="H109" s="22">
        <v>7</v>
      </c>
    </row>
    <row r="110" spans="1:8">
      <c r="A110" s="22" t="s">
        <v>75</v>
      </c>
      <c r="B110" s="22" t="s">
        <v>1024</v>
      </c>
      <c r="C110" s="6" t="s">
        <v>1025</v>
      </c>
      <c r="D110" s="22">
        <v>2032935178</v>
      </c>
      <c r="F110" s="22">
        <v>33</v>
      </c>
      <c r="G110" s="22">
        <v>10</v>
      </c>
      <c r="H110" s="22">
        <v>9</v>
      </c>
    </row>
    <row r="111" spans="1:8">
      <c r="A111" s="22" t="s">
        <v>45</v>
      </c>
      <c r="B111" s="22" t="s">
        <v>76</v>
      </c>
      <c r="C111" s="22" t="s">
        <v>1026</v>
      </c>
      <c r="D111" s="22">
        <v>7247623718</v>
      </c>
      <c r="F111" s="22">
        <v>10</v>
      </c>
      <c r="G111" s="22">
        <v>1</v>
      </c>
      <c r="H111" s="22">
        <v>1</v>
      </c>
    </row>
    <row r="112" spans="1:8">
      <c r="A112" s="22" t="s">
        <v>1027</v>
      </c>
      <c r="B112" s="22" t="s">
        <v>1028</v>
      </c>
      <c r="C112" s="6" t="s">
        <v>1029</v>
      </c>
      <c r="D112" s="22">
        <v>8146991918</v>
      </c>
      <c r="F112" s="22">
        <v>22</v>
      </c>
      <c r="G112" s="22">
        <v>4</v>
      </c>
      <c r="H112" s="22">
        <v>7</v>
      </c>
    </row>
    <row r="113" spans="1:8">
      <c r="A113" s="22" t="s">
        <v>1030</v>
      </c>
      <c r="B113" s="22" t="s">
        <v>1031</v>
      </c>
      <c r="C113" s="6" t="s">
        <v>1032</v>
      </c>
      <c r="D113" s="22">
        <v>5702386703</v>
      </c>
      <c r="F113" s="22">
        <v>32</v>
      </c>
      <c r="G113" s="22">
        <v>7</v>
      </c>
      <c r="H113" s="22">
        <v>9</v>
      </c>
    </row>
    <row r="114" spans="1:8">
      <c r="A114" s="22" t="s">
        <v>1033</v>
      </c>
      <c r="B114" s="22" t="s">
        <v>1034</v>
      </c>
      <c r="C114" s="6" t="s">
        <v>1035</v>
      </c>
      <c r="D114" s="22">
        <v>4849835191</v>
      </c>
      <c r="F114" s="22">
        <v>37</v>
      </c>
      <c r="G114" s="22">
        <v>11</v>
      </c>
      <c r="H114" s="22">
        <v>10</v>
      </c>
    </row>
    <row r="115" spans="1:8">
      <c r="A115" s="22" t="s">
        <v>1036</v>
      </c>
      <c r="B115" s="22" t="s">
        <v>1037</v>
      </c>
      <c r="C115" s="6" t="s">
        <v>1038</v>
      </c>
      <c r="D115" s="22">
        <v>8146991906</v>
      </c>
      <c r="F115" s="22">
        <v>54</v>
      </c>
      <c r="G115" s="22">
        <v>15</v>
      </c>
      <c r="H115" s="22">
        <v>9</v>
      </c>
    </row>
    <row r="116" spans="1:8">
      <c r="A116" s="22" t="s">
        <v>1039</v>
      </c>
      <c r="B116" s="22" t="s">
        <v>1040</v>
      </c>
      <c r="C116" s="22" t="s">
        <v>1041</v>
      </c>
      <c r="D116" s="22">
        <v>6109065925</v>
      </c>
      <c r="F116" s="22">
        <v>11</v>
      </c>
      <c r="G116" s="22">
        <v>1</v>
      </c>
      <c r="H116" s="22">
        <v>0</v>
      </c>
    </row>
    <row r="117" spans="1:8">
      <c r="A117" s="22" t="s">
        <v>577</v>
      </c>
      <c r="B117" s="22" t="s">
        <v>1042</v>
      </c>
      <c r="C117" s="6" t="s">
        <v>1043</v>
      </c>
      <c r="D117" s="22" t="s">
        <v>1044</v>
      </c>
      <c r="F117" s="22">
        <v>21</v>
      </c>
      <c r="G117" s="22">
        <v>3</v>
      </c>
      <c r="H117" s="22">
        <v>8</v>
      </c>
    </row>
    <row r="118" spans="1:8">
      <c r="A118" s="22" t="s">
        <v>1045</v>
      </c>
      <c r="B118" s="22" t="s">
        <v>1046</v>
      </c>
      <c r="C118" s="6" t="s">
        <v>1047</v>
      </c>
      <c r="D118" s="22">
        <v>2039742057</v>
      </c>
      <c r="F118" s="22">
        <v>46</v>
      </c>
      <c r="G118" s="22">
        <v>16</v>
      </c>
      <c r="H118" s="22">
        <v>10</v>
      </c>
    </row>
    <row r="119" spans="1:8">
      <c r="A119" s="22" t="s">
        <v>1048</v>
      </c>
      <c r="B119" s="22" t="s">
        <v>1049</v>
      </c>
      <c r="C119" s="6" t="s">
        <v>1050</v>
      </c>
      <c r="D119" s="22">
        <v>5166372007</v>
      </c>
      <c r="F119" s="22">
        <v>45</v>
      </c>
      <c r="G119" s="22">
        <v>18</v>
      </c>
      <c r="H119" s="22">
        <v>12</v>
      </c>
    </row>
    <row r="120" spans="1:8">
      <c r="A120" s="22" t="s">
        <v>1051</v>
      </c>
      <c r="B120" s="22" t="s">
        <v>1052</v>
      </c>
      <c r="C120" s="6" t="s">
        <v>1053</v>
      </c>
      <c r="D120" s="22">
        <v>6103344028</v>
      </c>
      <c r="F120" s="22">
        <v>15</v>
      </c>
      <c r="G120" s="22">
        <v>3</v>
      </c>
      <c r="H120" s="22">
        <v>7</v>
      </c>
    </row>
    <row r="121" spans="1:8">
      <c r="A121" s="22" t="s">
        <v>354</v>
      </c>
      <c r="B121" s="22" t="s">
        <v>1054</v>
      </c>
      <c r="C121" s="6" t="s">
        <v>1055</v>
      </c>
      <c r="D121" s="22">
        <v>9166162050</v>
      </c>
      <c r="F121" s="22">
        <v>56</v>
      </c>
      <c r="G121" s="22">
        <v>16</v>
      </c>
      <c r="H121" s="22">
        <v>5</v>
      </c>
    </row>
    <row r="122" spans="1:8">
      <c r="A122" s="22" t="s">
        <v>1056</v>
      </c>
      <c r="B122" s="22" t="s">
        <v>1057</v>
      </c>
      <c r="C122" s="6" t="s">
        <v>1058</v>
      </c>
      <c r="D122" s="22">
        <v>6103501531</v>
      </c>
      <c r="F122" s="22">
        <v>39</v>
      </c>
      <c r="G122" s="22">
        <v>8</v>
      </c>
      <c r="H122" s="22">
        <v>7</v>
      </c>
    </row>
    <row r="123" spans="1:8">
      <c r="A123" s="22" t="s">
        <v>1059</v>
      </c>
      <c r="B123" s="22" t="s">
        <v>1060</v>
      </c>
      <c r="C123" s="6" t="s">
        <v>1061</v>
      </c>
      <c r="D123" s="22">
        <v>2405154873</v>
      </c>
      <c r="F123" s="22">
        <v>39</v>
      </c>
      <c r="G123" s="22">
        <v>8</v>
      </c>
      <c r="H123" s="22">
        <v>8</v>
      </c>
    </row>
    <row r="124" spans="1:8">
      <c r="A124" s="22" t="s">
        <v>1062</v>
      </c>
      <c r="B124" s="22" t="s">
        <v>1063</v>
      </c>
      <c r="C124" s="6" t="s">
        <v>1064</v>
      </c>
      <c r="D124" s="22" t="s">
        <v>1065</v>
      </c>
      <c r="F124" s="22">
        <v>30</v>
      </c>
      <c r="G124" s="22">
        <v>6</v>
      </c>
      <c r="H124" s="22">
        <v>7</v>
      </c>
    </row>
    <row r="125" spans="1:8">
      <c r="A125" s="22" t="s">
        <v>1062</v>
      </c>
      <c r="B125" s="22" t="s">
        <v>1066</v>
      </c>
      <c r="C125" s="6" t="s">
        <v>1067</v>
      </c>
      <c r="D125" s="22">
        <v>4845577579</v>
      </c>
      <c r="F125" s="22">
        <v>30</v>
      </c>
      <c r="G125" s="22">
        <v>10</v>
      </c>
      <c r="H125" s="22">
        <v>11</v>
      </c>
    </row>
    <row r="126" spans="1:8">
      <c r="A126" s="22" t="s">
        <v>1068</v>
      </c>
      <c r="B126" s="22" t="s">
        <v>1069</v>
      </c>
      <c r="C126" s="6" t="s">
        <v>1070</v>
      </c>
      <c r="D126" s="22" t="s">
        <v>739</v>
      </c>
      <c r="F126" s="22">
        <v>33</v>
      </c>
      <c r="G126" s="22">
        <v>8</v>
      </c>
      <c r="H126" s="22">
        <v>9</v>
      </c>
    </row>
    <row r="127" spans="1:8">
      <c r="A127" s="22" t="s">
        <v>1071</v>
      </c>
      <c r="B127" s="22" t="s">
        <v>1072</v>
      </c>
      <c r="C127" s="6" t="s">
        <v>1073</v>
      </c>
      <c r="D127" s="22">
        <v>6107145385</v>
      </c>
      <c r="F127" s="22">
        <v>29</v>
      </c>
      <c r="G127" s="22">
        <v>9</v>
      </c>
      <c r="H127" s="22">
        <v>8</v>
      </c>
    </row>
    <row r="128" spans="1:8">
      <c r="A128" s="22" t="s">
        <v>1074</v>
      </c>
      <c r="B128" s="22" t="s">
        <v>1075</v>
      </c>
      <c r="C128" s="6" t="s">
        <v>1076</v>
      </c>
      <c r="D128" s="22">
        <v>2157912670</v>
      </c>
      <c r="F128" s="22">
        <v>51</v>
      </c>
      <c r="G128" s="22">
        <v>13</v>
      </c>
      <c r="H128" s="22">
        <v>4</v>
      </c>
    </row>
    <row r="129" spans="1:8">
      <c r="A129" s="22" t="s">
        <v>1077</v>
      </c>
      <c r="B129" s="22" t="s">
        <v>1078</v>
      </c>
      <c r="C129" s="6" t="s">
        <v>1079</v>
      </c>
      <c r="D129" s="22">
        <v>8144181850</v>
      </c>
      <c r="F129" s="22">
        <v>17</v>
      </c>
      <c r="G129" s="22">
        <v>4</v>
      </c>
      <c r="H129" s="22">
        <v>12</v>
      </c>
    </row>
    <row r="130" spans="1:8">
      <c r="A130" s="22" t="s">
        <v>1080</v>
      </c>
      <c r="B130" s="22" t="s">
        <v>1081</v>
      </c>
      <c r="C130" s="6" t="s">
        <v>1082</v>
      </c>
      <c r="D130" s="22">
        <v>8147774455</v>
      </c>
      <c r="F130" s="22">
        <v>28</v>
      </c>
      <c r="G130" s="22">
        <v>7</v>
      </c>
      <c r="H130" s="22">
        <v>9</v>
      </c>
    </row>
    <row r="131" spans="1:8">
      <c r="A131" s="22" t="s">
        <v>1080</v>
      </c>
      <c r="B131" s="22" t="s">
        <v>1083</v>
      </c>
      <c r="C131" s="6" t="s">
        <v>1084</v>
      </c>
      <c r="D131" s="22">
        <v>2675666591</v>
      </c>
      <c r="F131" s="22">
        <v>54</v>
      </c>
      <c r="G131" s="22">
        <v>18</v>
      </c>
      <c r="H131" s="22">
        <v>11</v>
      </c>
    </row>
    <row r="132" spans="1:8">
      <c r="A132" s="22" t="s">
        <v>651</v>
      </c>
      <c r="B132" s="22" t="s">
        <v>1085</v>
      </c>
      <c r="C132" s="22" t="s">
        <v>1086</v>
      </c>
      <c r="D132" s="22" t="s">
        <v>1087</v>
      </c>
      <c r="F132" s="22">
        <v>3</v>
      </c>
      <c r="G132" s="22">
        <v>1</v>
      </c>
      <c r="H132" s="22">
        <v>0</v>
      </c>
    </row>
    <row r="133" spans="1:8">
      <c r="A133" s="22" t="s">
        <v>651</v>
      </c>
      <c r="B133" s="22" t="s">
        <v>1088</v>
      </c>
      <c r="C133" s="22" t="s">
        <v>1089</v>
      </c>
      <c r="D133" s="22">
        <v>4128600068</v>
      </c>
      <c r="F133" s="22">
        <v>6</v>
      </c>
      <c r="G133" s="22">
        <v>0</v>
      </c>
      <c r="H133" s="22">
        <v>0</v>
      </c>
    </row>
    <row r="134" spans="1:8">
      <c r="A134" s="22" t="s">
        <v>651</v>
      </c>
      <c r="B134" s="22" t="s">
        <v>1090</v>
      </c>
      <c r="C134" s="6" t="s">
        <v>1091</v>
      </c>
      <c r="D134" s="22" t="s">
        <v>1092</v>
      </c>
      <c r="F134" s="22">
        <v>54</v>
      </c>
      <c r="G134" s="22">
        <v>14</v>
      </c>
      <c r="H134" s="22">
        <v>8</v>
      </c>
    </row>
    <row r="135" spans="1:8">
      <c r="A135" s="22" t="s">
        <v>432</v>
      </c>
      <c r="B135" s="22" t="s">
        <v>1093</v>
      </c>
      <c r="C135" s="6" t="s">
        <v>1094</v>
      </c>
      <c r="D135" s="22" t="s">
        <v>1095</v>
      </c>
      <c r="F135" s="22">
        <v>36</v>
      </c>
      <c r="G135" s="22">
        <v>13</v>
      </c>
      <c r="H135" s="22">
        <v>8</v>
      </c>
    </row>
    <row r="136" spans="1:8">
      <c r="A136" s="22" t="s">
        <v>1096</v>
      </c>
      <c r="B136" s="22" t="s">
        <v>1097</v>
      </c>
      <c r="C136" s="22" t="s">
        <v>1098</v>
      </c>
      <c r="D136" s="22" t="s">
        <v>1099</v>
      </c>
      <c r="F136" s="22">
        <v>3</v>
      </c>
      <c r="G136" s="22">
        <v>0</v>
      </c>
      <c r="H136" s="22">
        <v>1</v>
      </c>
    </row>
    <row r="137" spans="1:8">
      <c r="A137" s="22" t="s">
        <v>1100</v>
      </c>
      <c r="B137" s="22" t="s">
        <v>1101</v>
      </c>
      <c r="C137" s="6" t="s">
        <v>1102</v>
      </c>
      <c r="D137" s="22">
        <v>8455377237</v>
      </c>
      <c r="F137" s="22">
        <v>48</v>
      </c>
      <c r="G137" s="22">
        <v>11</v>
      </c>
      <c r="H137" s="22">
        <v>7</v>
      </c>
    </row>
    <row r="138" spans="1:8">
      <c r="A138" s="22" t="s">
        <v>683</v>
      </c>
      <c r="B138" s="22" t="s">
        <v>684</v>
      </c>
      <c r="C138" s="22" t="s">
        <v>685</v>
      </c>
      <c r="D138" s="22">
        <v>7244178908</v>
      </c>
      <c r="F138" s="22">
        <v>11</v>
      </c>
      <c r="G138" s="22">
        <v>3</v>
      </c>
      <c r="H138" s="22">
        <v>2</v>
      </c>
    </row>
    <row r="139" spans="1:8">
      <c r="A139" s="22" t="s">
        <v>1103</v>
      </c>
      <c r="B139" s="22" t="s">
        <v>1104</v>
      </c>
      <c r="C139" s="6" t="s">
        <v>1105</v>
      </c>
      <c r="D139" s="22" t="s">
        <v>1106</v>
      </c>
      <c r="F139" s="22">
        <v>38</v>
      </c>
      <c r="G139" s="22">
        <v>11</v>
      </c>
      <c r="H139" s="22">
        <v>7</v>
      </c>
    </row>
    <row r="140" spans="1:8">
      <c r="A140" s="22" t="s">
        <v>1107</v>
      </c>
      <c r="B140" s="22" t="s">
        <v>1108</v>
      </c>
      <c r="C140" s="6" t="s">
        <v>1109</v>
      </c>
      <c r="D140" s="22" t="s">
        <v>1110</v>
      </c>
      <c r="F140" s="22">
        <v>38</v>
      </c>
      <c r="G140" s="22">
        <v>10</v>
      </c>
      <c r="H140" s="22">
        <v>11</v>
      </c>
    </row>
    <row r="141" spans="1:8">
      <c r="A141" s="22" t="s">
        <v>1111</v>
      </c>
      <c r="B141" s="22" t="s">
        <v>172</v>
      </c>
      <c r="C141" s="6" t="s">
        <v>1112</v>
      </c>
      <c r="D141" s="22">
        <v>7036232253</v>
      </c>
      <c r="F141" s="22">
        <v>23</v>
      </c>
      <c r="G141" s="22">
        <v>4</v>
      </c>
      <c r="H141" s="22">
        <v>10</v>
      </c>
    </row>
    <row r="142" spans="1:8">
      <c r="A142" s="22" t="s">
        <v>1111</v>
      </c>
      <c r="B142" s="22" t="s">
        <v>1020</v>
      </c>
      <c r="C142" s="6" t="s">
        <v>1113</v>
      </c>
      <c r="D142" s="22" t="s">
        <v>1114</v>
      </c>
      <c r="F142" s="22">
        <v>41</v>
      </c>
      <c r="G142" s="22">
        <v>6</v>
      </c>
      <c r="H142" s="22">
        <v>7</v>
      </c>
    </row>
    <row r="143" spans="1:8">
      <c r="A143" s="22" t="s">
        <v>1115</v>
      </c>
      <c r="B143" s="22" t="s">
        <v>1116</v>
      </c>
      <c r="C143" s="6" t="s">
        <v>1117</v>
      </c>
      <c r="D143" s="22" t="s">
        <v>739</v>
      </c>
      <c r="F143" s="22">
        <v>44</v>
      </c>
      <c r="G143" s="22">
        <v>15</v>
      </c>
      <c r="H143" s="22">
        <v>8</v>
      </c>
    </row>
    <row r="144" spans="1:8">
      <c r="A144" s="22" t="s">
        <v>1118</v>
      </c>
      <c r="B144" s="22" t="s">
        <v>1119</v>
      </c>
      <c r="C144" s="6" t="s">
        <v>1120</v>
      </c>
      <c r="D144" s="22">
        <v>6187916138</v>
      </c>
      <c r="F144" s="22">
        <v>22</v>
      </c>
      <c r="G144" s="22">
        <v>8</v>
      </c>
      <c r="H144" s="22">
        <v>8</v>
      </c>
    </row>
    <row r="145" spans="1:8">
      <c r="A145" s="22" t="s">
        <v>1121</v>
      </c>
      <c r="B145" s="22" t="s">
        <v>1122</v>
      </c>
      <c r="C145" s="6" t="s">
        <v>1123</v>
      </c>
      <c r="D145" s="22">
        <v>8144416299</v>
      </c>
      <c r="F145" s="22">
        <v>25</v>
      </c>
      <c r="G145" s="22">
        <v>9</v>
      </c>
      <c r="H145" s="22">
        <v>7</v>
      </c>
    </row>
    <row r="146" spans="1:8">
      <c r="A146" s="22" t="s">
        <v>202</v>
      </c>
      <c r="B146" s="22" t="s">
        <v>1124</v>
      </c>
      <c r="C146" s="22" t="s">
        <v>1125</v>
      </c>
      <c r="D146" s="22" t="s">
        <v>1126</v>
      </c>
      <c r="F146" s="22">
        <v>12</v>
      </c>
      <c r="G146" s="22">
        <v>1</v>
      </c>
      <c r="H146" s="22">
        <v>1</v>
      </c>
    </row>
    <row r="147" spans="1:8">
      <c r="A147" s="22" t="s">
        <v>1127</v>
      </c>
      <c r="B147" s="22" t="s">
        <v>1128</v>
      </c>
      <c r="C147" s="6" t="s">
        <v>1129</v>
      </c>
      <c r="D147" s="22">
        <v>4129926590</v>
      </c>
      <c r="F147" s="22">
        <v>33</v>
      </c>
      <c r="G147" s="22">
        <v>7</v>
      </c>
      <c r="H147" s="22">
        <v>8</v>
      </c>
    </row>
    <row r="148" spans="1:8">
      <c r="A148" s="22" t="s">
        <v>1130</v>
      </c>
      <c r="B148" s="22" t="s">
        <v>1131</v>
      </c>
      <c r="C148" s="6">
        <v>7272602266</v>
      </c>
      <c r="D148" s="22">
        <v>7272602266</v>
      </c>
      <c r="F148" s="22">
        <v>42</v>
      </c>
      <c r="G148" s="22">
        <v>8</v>
      </c>
      <c r="H148" s="22">
        <v>9</v>
      </c>
    </row>
    <row r="149" spans="1:8">
      <c r="A149" s="22" t="s">
        <v>1132</v>
      </c>
      <c r="B149" s="22" t="s">
        <v>1133</v>
      </c>
      <c r="C149" s="6" t="s">
        <v>1134</v>
      </c>
      <c r="D149" s="22">
        <v>2679806388</v>
      </c>
      <c r="F149" s="22">
        <v>31</v>
      </c>
      <c r="G149" s="22">
        <v>9</v>
      </c>
      <c r="H149" s="22">
        <v>8</v>
      </c>
    </row>
    <row r="150" spans="1:8">
      <c r="A150" s="22" t="s">
        <v>1135</v>
      </c>
      <c r="B150" s="22" t="s">
        <v>315</v>
      </c>
      <c r="C150" s="6" t="s">
        <v>1136</v>
      </c>
      <c r="D150" s="22" t="s">
        <v>1137</v>
      </c>
      <c r="F150" s="22">
        <v>50</v>
      </c>
      <c r="G150" s="22">
        <v>14</v>
      </c>
      <c r="H150" s="22">
        <v>9</v>
      </c>
    </row>
    <row r="151" spans="1:8">
      <c r="A151" s="22" t="s">
        <v>1135</v>
      </c>
      <c r="B151" s="22" t="s">
        <v>1138</v>
      </c>
      <c r="C151" s="6" t="s">
        <v>1139</v>
      </c>
      <c r="D151" s="22">
        <v>4845607729</v>
      </c>
      <c r="F151" s="22">
        <v>32</v>
      </c>
      <c r="G151" s="22">
        <v>9</v>
      </c>
      <c r="H151" s="22">
        <v>8</v>
      </c>
    </row>
    <row r="152" spans="1:8">
      <c r="A152" s="22" t="s">
        <v>1140</v>
      </c>
      <c r="B152" s="22" t="s">
        <v>1141</v>
      </c>
      <c r="C152" s="22" t="s">
        <v>1142</v>
      </c>
      <c r="D152" s="22">
        <v>7177236939</v>
      </c>
      <c r="F152" s="22">
        <v>10</v>
      </c>
      <c r="G152" s="22">
        <v>2</v>
      </c>
      <c r="H152" s="22">
        <v>1</v>
      </c>
    </row>
    <row r="153" spans="1:8">
      <c r="A153" s="22" t="s">
        <v>1143</v>
      </c>
      <c r="B153" s="22" t="s">
        <v>1144</v>
      </c>
      <c r="C153" s="6" t="s">
        <v>1145</v>
      </c>
      <c r="D153" s="22">
        <v>2679075761</v>
      </c>
      <c r="F153" s="22">
        <v>25</v>
      </c>
      <c r="G153" s="22">
        <v>4</v>
      </c>
      <c r="H153" s="22">
        <v>9</v>
      </c>
    </row>
    <row r="154" spans="1:8">
      <c r="A154" s="22" t="s">
        <v>1146</v>
      </c>
      <c r="B154" s="22" t="s">
        <v>1147</v>
      </c>
      <c r="C154" s="6" t="s">
        <v>1148</v>
      </c>
      <c r="D154" s="22" t="s">
        <v>1149</v>
      </c>
      <c r="F154" s="22">
        <v>33</v>
      </c>
      <c r="G154" s="22">
        <v>7</v>
      </c>
      <c r="H154" s="22">
        <v>11</v>
      </c>
    </row>
    <row r="155" spans="1:8">
      <c r="A155" s="22" t="s">
        <v>335</v>
      </c>
      <c r="B155" s="22" t="s">
        <v>1150</v>
      </c>
      <c r="C155" s="6" t="s">
        <v>1151</v>
      </c>
      <c r="D155" s="22">
        <v>6104170500</v>
      </c>
      <c r="F155" s="22">
        <v>48</v>
      </c>
      <c r="G155" s="22">
        <v>11</v>
      </c>
      <c r="H155" s="22">
        <v>11</v>
      </c>
    </row>
    <row r="156" spans="1:8">
      <c r="A156" s="22" t="s">
        <v>1152</v>
      </c>
      <c r="B156" s="22" t="s">
        <v>1153</v>
      </c>
      <c r="C156" s="6" t="s">
        <v>1154</v>
      </c>
      <c r="D156" s="22" t="s">
        <v>739</v>
      </c>
      <c r="F156" s="22">
        <v>19</v>
      </c>
      <c r="G156" s="22">
        <v>5</v>
      </c>
      <c r="H156" s="22">
        <v>7</v>
      </c>
    </row>
    <row r="157" spans="1:8">
      <c r="A157" s="22" t="s">
        <v>454</v>
      </c>
      <c r="B157" s="22" t="s">
        <v>455</v>
      </c>
      <c r="C157" s="6" t="s">
        <v>1155</v>
      </c>
      <c r="D157" s="22">
        <v>9177144776</v>
      </c>
      <c r="F157" s="22">
        <v>52</v>
      </c>
      <c r="G157" s="22">
        <v>11</v>
      </c>
      <c r="H157" s="22">
        <v>12</v>
      </c>
    </row>
    <row r="158" spans="1:8">
      <c r="A158" s="22" t="s">
        <v>71</v>
      </c>
      <c r="B158" s="22" t="s">
        <v>1156</v>
      </c>
      <c r="C158" s="6" t="s">
        <v>1157</v>
      </c>
      <c r="D158" s="22">
        <v>8143819176</v>
      </c>
      <c r="F158" s="22">
        <v>64</v>
      </c>
      <c r="G158" s="22">
        <v>18</v>
      </c>
      <c r="H158" s="22">
        <v>12</v>
      </c>
    </row>
    <row r="159" spans="1:8">
      <c r="A159" s="22" t="s">
        <v>71</v>
      </c>
      <c r="B159" s="22" t="s">
        <v>1158</v>
      </c>
      <c r="C159" s="6" t="s">
        <v>1159</v>
      </c>
      <c r="D159" s="22">
        <v>9738309295</v>
      </c>
      <c r="F159" s="22">
        <v>22</v>
      </c>
      <c r="G159" s="22">
        <v>5</v>
      </c>
      <c r="H159" s="22">
        <v>10</v>
      </c>
    </row>
    <row r="160" spans="1:8">
      <c r="A160" s="22" t="s">
        <v>71</v>
      </c>
      <c r="B160" s="22" t="s">
        <v>1160</v>
      </c>
      <c r="C160" s="6" t="s">
        <v>1161</v>
      </c>
      <c r="D160" s="22">
        <v>5709567773</v>
      </c>
      <c r="F160" s="22">
        <v>18</v>
      </c>
      <c r="G160" s="22">
        <v>3</v>
      </c>
      <c r="H160" s="22">
        <v>9</v>
      </c>
    </row>
    <row r="161" spans="1:8">
      <c r="A161" s="22" t="s">
        <v>1162</v>
      </c>
      <c r="B161" s="22" t="s">
        <v>1163</v>
      </c>
      <c r="C161" s="6" t="s">
        <v>1164</v>
      </c>
      <c r="D161" s="22">
        <v>5702590356</v>
      </c>
      <c r="F161" s="22">
        <v>34</v>
      </c>
      <c r="G161" s="22">
        <v>11</v>
      </c>
      <c r="H161" s="22">
        <v>9</v>
      </c>
    </row>
    <row r="162" spans="1:8">
      <c r="A162" s="22" t="s">
        <v>34</v>
      </c>
      <c r="B162" s="22" t="s">
        <v>1165</v>
      </c>
      <c r="C162" s="6" t="s">
        <v>1166</v>
      </c>
      <c r="D162" s="22">
        <v>2675675228</v>
      </c>
      <c r="F162" s="22">
        <v>49</v>
      </c>
      <c r="G162" s="22">
        <v>17</v>
      </c>
      <c r="H162" s="22">
        <v>5</v>
      </c>
    </row>
    <row r="163" spans="1:8">
      <c r="A163" s="22" t="s">
        <v>667</v>
      </c>
      <c r="B163" s="22" t="s">
        <v>1167</v>
      </c>
      <c r="C163" s="6" t="s">
        <v>1168</v>
      </c>
      <c r="D163" s="22">
        <v>5618667678</v>
      </c>
      <c r="F163" s="22">
        <v>43</v>
      </c>
      <c r="G163" s="22">
        <v>12</v>
      </c>
      <c r="H163" s="22">
        <v>7</v>
      </c>
    </row>
    <row r="164" spans="1:8">
      <c r="A164" s="22" t="s">
        <v>667</v>
      </c>
      <c r="B164" s="22" t="s">
        <v>1169</v>
      </c>
      <c r="C164" s="6" t="s">
        <v>1170</v>
      </c>
      <c r="D164" s="22">
        <v>9739076394</v>
      </c>
      <c r="F164" s="22">
        <v>30</v>
      </c>
      <c r="G164" s="22">
        <v>7</v>
      </c>
      <c r="H164" s="22">
        <v>9</v>
      </c>
    </row>
    <row r="165" spans="1:8">
      <c r="A165" s="22" t="s">
        <v>1171</v>
      </c>
      <c r="B165" s="22" t="s">
        <v>1172</v>
      </c>
      <c r="C165" s="6" t="s">
        <v>1173</v>
      </c>
      <c r="D165" s="22">
        <v>8145717717</v>
      </c>
      <c r="F165" s="22">
        <v>54</v>
      </c>
      <c r="G165" s="22">
        <v>14</v>
      </c>
      <c r="H165" s="22">
        <v>3</v>
      </c>
    </row>
    <row r="166" spans="1:8">
      <c r="A166" s="22" t="s">
        <v>1174</v>
      </c>
      <c r="B166" s="22" t="s">
        <v>1175</v>
      </c>
      <c r="C166" s="6" t="s">
        <v>1176</v>
      </c>
      <c r="D166" s="22">
        <v>4849296216</v>
      </c>
      <c r="F166" s="22">
        <v>30</v>
      </c>
      <c r="G166" s="22">
        <v>7</v>
      </c>
      <c r="H166" s="22">
        <v>8</v>
      </c>
    </row>
    <row r="167" spans="1:8">
      <c r="A167" s="22" t="s">
        <v>1177</v>
      </c>
      <c r="B167" s="22" t="s">
        <v>1178</v>
      </c>
      <c r="C167" s="6" t="s">
        <v>1179</v>
      </c>
      <c r="D167" s="22" t="s">
        <v>1180</v>
      </c>
      <c r="F167" s="22">
        <v>20</v>
      </c>
      <c r="G167" s="22">
        <v>5</v>
      </c>
      <c r="H167" s="22">
        <v>8</v>
      </c>
    </row>
    <row r="168" spans="1:8">
      <c r="A168" s="22" t="s">
        <v>1181</v>
      </c>
      <c r="B168" s="22" t="s">
        <v>1182</v>
      </c>
      <c r="C168" s="6" t="s">
        <v>1183</v>
      </c>
      <c r="D168" s="22">
        <v>2676504835</v>
      </c>
      <c r="F168" s="22">
        <v>30</v>
      </c>
      <c r="G168" s="22">
        <v>9</v>
      </c>
      <c r="H168" s="22">
        <v>12</v>
      </c>
    </row>
    <row r="169" spans="1:8">
      <c r="A169" s="22" t="s">
        <v>1184</v>
      </c>
      <c r="B169" s="22" t="s">
        <v>1185</v>
      </c>
      <c r="C169" s="6" t="s">
        <v>1186</v>
      </c>
      <c r="D169" s="22">
        <v>7179791504</v>
      </c>
      <c r="F169" s="22">
        <v>52</v>
      </c>
      <c r="G169" s="22">
        <v>13</v>
      </c>
      <c r="H169" s="22">
        <v>4</v>
      </c>
    </row>
    <row r="170" spans="1:8">
      <c r="A170" s="22" t="s">
        <v>1187</v>
      </c>
      <c r="B170" s="22" t="s">
        <v>1188</v>
      </c>
      <c r="C170" s="22" t="s">
        <v>1189</v>
      </c>
      <c r="D170" s="22" t="s">
        <v>1190</v>
      </c>
      <c r="F170" s="22">
        <v>8</v>
      </c>
      <c r="G170" s="22">
        <v>2</v>
      </c>
      <c r="H170" s="22">
        <v>0</v>
      </c>
    </row>
    <row r="171" spans="1:8">
      <c r="A171" s="22" t="s">
        <v>1187</v>
      </c>
      <c r="B171" s="22" t="s">
        <v>1191</v>
      </c>
      <c r="C171" s="22" t="s">
        <v>1192</v>
      </c>
      <c r="D171" s="22">
        <v>5012862821</v>
      </c>
      <c r="F171" s="22">
        <v>11</v>
      </c>
      <c r="G171" s="22">
        <v>3</v>
      </c>
      <c r="H171" s="22">
        <v>1</v>
      </c>
    </row>
    <row r="172" spans="1:8">
      <c r="A172" s="22" t="s">
        <v>1187</v>
      </c>
      <c r="B172" s="22" t="s">
        <v>1193</v>
      </c>
      <c r="C172" s="6" t="s">
        <v>1194</v>
      </c>
      <c r="D172" s="22">
        <v>4843197575</v>
      </c>
      <c r="F172" s="22">
        <v>10</v>
      </c>
      <c r="G172" s="22">
        <v>1</v>
      </c>
      <c r="H172" s="22">
        <v>7</v>
      </c>
    </row>
    <row r="173" spans="1:8">
      <c r="A173" s="22" t="s">
        <v>1195</v>
      </c>
      <c r="B173" s="22" t="s">
        <v>1196</v>
      </c>
      <c r="C173" s="6" t="s">
        <v>1197</v>
      </c>
      <c r="D173" s="22">
        <v>7245947153</v>
      </c>
      <c r="F173" s="22">
        <v>44</v>
      </c>
      <c r="G173" s="22">
        <v>16</v>
      </c>
      <c r="H173" s="22">
        <v>12</v>
      </c>
    </row>
    <row r="174" spans="1:8">
      <c r="A174" s="22" t="s">
        <v>414</v>
      </c>
      <c r="B174" s="22" t="s">
        <v>1198</v>
      </c>
      <c r="C174" s="6" t="s">
        <v>1199</v>
      </c>
      <c r="D174" s="22" t="s">
        <v>1200</v>
      </c>
      <c r="F174" s="22">
        <v>24</v>
      </c>
      <c r="G174" s="22">
        <v>5</v>
      </c>
      <c r="H174" s="22">
        <v>7</v>
      </c>
    </row>
    <row r="175" spans="1:8">
      <c r="A175" s="22" t="s">
        <v>1201</v>
      </c>
      <c r="B175" s="22" t="s">
        <v>1202</v>
      </c>
      <c r="C175" s="6" t="s">
        <v>1203</v>
      </c>
      <c r="D175" s="22">
        <v>8149542859</v>
      </c>
      <c r="F175" s="22">
        <v>39</v>
      </c>
      <c r="G175" s="22">
        <v>14</v>
      </c>
      <c r="H175" s="22">
        <v>6</v>
      </c>
    </row>
    <row r="176" spans="1:8">
      <c r="A176" s="22" t="s">
        <v>593</v>
      </c>
      <c r="B176" s="22" t="s">
        <v>1191</v>
      </c>
      <c r="C176" s="6" t="s">
        <v>1204</v>
      </c>
      <c r="D176" s="22">
        <v>3054957897</v>
      </c>
      <c r="F176" s="22">
        <v>38</v>
      </c>
      <c r="G176" s="22">
        <v>13</v>
      </c>
      <c r="H176" s="22">
        <v>2</v>
      </c>
    </row>
    <row r="177" spans="1:8">
      <c r="A177" s="22" t="s">
        <v>1205</v>
      </c>
      <c r="B177" s="22" t="s">
        <v>1206</v>
      </c>
      <c r="C177" s="6" t="s">
        <v>1207</v>
      </c>
      <c r="D177" s="22">
        <v>2678844462</v>
      </c>
      <c r="F177" s="22">
        <v>30</v>
      </c>
      <c r="G177" s="22">
        <v>9</v>
      </c>
      <c r="H177" s="22">
        <v>7</v>
      </c>
    </row>
    <row r="178" spans="1:8">
      <c r="A178" s="22" t="s">
        <v>1208</v>
      </c>
      <c r="B178" s="22" t="s">
        <v>1209</v>
      </c>
      <c r="C178" s="22" t="s">
        <v>1210</v>
      </c>
      <c r="D178" s="22">
        <v>9739348499</v>
      </c>
      <c r="F178" s="22">
        <v>5</v>
      </c>
      <c r="G178" s="22">
        <v>3</v>
      </c>
      <c r="H178" s="22">
        <v>1</v>
      </c>
    </row>
    <row r="179" spans="1:8">
      <c r="A179" s="22" t="s">
        <v>1211</v>
      </c>
      <c r="B179" s="22" t="s">
        <v>1212</v>
      </c>
      <c r="C179" s="22" t="s">
        <v>1213</v>
      </c>
      <c r="D179" s="22">
        <v>7176735314</v>
      </c>
      <c r="F179" s="22">
        <v>6</v>
      </c>
      <c r="G179" s="22">
        <v>1</v>
      </c>
      <c r="H179" s="22">
        <v>2</v>
      </c>
    </row>
    <row r="180" spans="1:8">
      <c r="A180" s="22" t="s">
        <v>1211</v>
      </c>
      <c r="B180" s="22" t="s">
        <v>1214</v>
      </c>
      <c r="C180" s="6" t="s">
        <v>1215</v>
      </c>
      <c r="D180" s="22" t="s">
        <v>1216</v>
      </c>
      <c r="F180" s="22">
        <v>31</v>
      </c>
      <c r="G180" s="22">
        <v>6</v>
      </c>
      <c r="H180" s="22">
        <v>7</v>
      </c>
    </row>
    <row r="181" spans="1:8">
      <c r="A181" s="22" t="s">
        <v>1211</v>
      </c>
      <c r="B181" s="22" t="s">
        <v>1217</v>
      </c>
      <c r="C181" s="6" t="s">
        <v>1218</v>
      </c>
      <c r="D181" s="22" t="s">
        <v>739</v>
      </c>
      <c r="F181" s="22">
        <v>34</v>
      </c>
      <c r="G181" s="22">
        <v>12</v>
      </c>
      <c r="H181" s="22">
        <v>9</v>
      </c>
    </row>
    <row r="182" spans="1:8">
      <c r="A182" s="22" t="s">
        <v>205</v>
      </c>
      <c r="B182" s="22" t="s">
        <v>1219</v>
      </c>
      <c r="C182" s="6" t="s">
        <v>1220</v>
      </c>
      <c r="D182" s="22" t="s">
        <v>1221</v>
      </c>
      <c r="F182" s="22">
        <v>35</v>
      </c>
      <c r="G182" s="22">
        <v>10</v>
      </c>
      <c r="H182" s="22">
        <v>11</v>
      </c>
    </row>
    <row r="183" spans="1:8">
      <c r="A183" s="22" t="s">
        <v>556</v>
      </c>
      <c r="B183" s="22" t="s">
        <v>1222</v>
      </c>
      <c r="C183" s="6" t="s">
        <v>1223</v>
      </c>
      <c r="D183" s="22" t="s">
        <v>739</v>
      </c>
      <c r="F183" s="22">
        <v>29</v>
      </c>
      <c r="G183" s="22">
        <v>8</v>
      </c>
      <c r="H183" s="22">
        <v>12</v>
      </c>
    </row>
    <row r="184" spans="1:8">
      <c r="A184" s="22" t="s">
        <v>1224</v>
      </c>
      <c r="B184" s="22" t="s">
        <v>1225</v>
      </c>
      <c r="C184" s="6" t="s">
        <v>1226</v>
      </c>
      <c r="D184" s="22">
        <v>4848667723</v>
      </c>
      <c r="F184" s="22">
        <v>23</v>
      </c>
      <c r="G184" s="22">
        <v>8</v>
      </c>
      <c r="H184" s="22">
        <v>8</v>
      </c>
    </row>
    <row r="185" spans="1:8">
      <c r="A185" s="22" t="s">
        <v>1224</v>
      </c>
      <c r="B185" s="22" t="s">
        <v>1227</v>
      </c>
      <c r="C185" s="6" t="s">
        <v>1228</v>
      </c>
      <c r="D185" s="22">
        <v>4842521342</v>
      </c>
      <c r="F185" s="22">
        <v>49</v>
      </c>
      <c r="G185" s="22">
        <v>13</v>
      </c>
      <c r="H185" s="22">
        <v>8</v>
      </c>
    </row>
    <row r="186" spans="1:8">
      <c r="A186" s="22" t="s">
        <v>1229</v>
      </c>
      <c r="B186" s="22" t="s">
        <v>1230</v>
      </c>
      <c r="C186" s="6" t="s">
        <v>1231</v>
      </c>
      <c r="D186" s="22">
        <v>6176786030</v>
      </c>
      <c r="F186" s="22">
        <v>32</v>
      </c>
      <c r="G186" s="22">
        <v>11</v>
      </c>
      <c r="H186" s="22">
        <v>7</v>
      </c>
    </row>
    <row r="187" spans="1:8">
      <c r="A187" s="22" t="s">
        <v>1232</v>
      </c>
      <c r="B187" s="22" t="s">
        <v>1233</v>
      </c>
      <c r="C187" s="6" t="s">
        <v>1234</v>
      </c>
      <c r="D187" s="22">
        <v>6106748288</v>
      </c>
      <c r="F187" s="22">
        <v>45</v>
      </c>
      <c r="G187" s="22">
        <v>15</v>
      </c>
      <c r="H187" s="22">
        <v>9</v>
      </c>
    </row>
    <row r="188" spans="1:8">
      <c r="A188" s="22" t="s">
        <v>1235</v>
      </c>
      <c r="B188" s="22" t="s">
        <v>1236</v>
      </c>
      <c r="C188" s="22" t="s">
        <v>1237</v>
      </c>
      <c r="D188" s="22">
        <v>6105776436</v>
      </c>
      <c r="F188" s="22">
        <v>8</v>
      </c>
      <c r="G188" s="22">
        <v>3</v>
      </c>
      <c r="H188" s="22">
        <v>2</v>
      </c>
    </row>
    <row r="189" spans="1:8">
      <c r="A189" s="22" t="s">
        <v>1235</v>
      </c>
      <c r="B189" s="22" t="s">
        <v>1238</v>
      </c>
      <c r="C189" s="6" t="s">
        <v>1239</v>
      </c>
      <c r="D189" s="22" t="s">
        <v>1240</v>
      </c>
      <c r="F189" s="22">
        <v>16</v>
      </c>
      <c r="G189" s="22">
        <v>5</v>
      </c>
      <c r="H189" s="22">
        <v>7</v>
      </c>
    </row>
    <row r="190" spans="1:8">
      <c r="A190" s="22" t="s">
        <v>1241</v>
      </c>
      <c r="B190" s="22" t="s">
        <v>1242</v>
      </c>
      <c r="C190" s="6" t="s">
        <v>1243</v>
      </c>
      <c r="D190" s="22" t="s">
        <v>1244</v>
      </c>
      <c r="F190" s="22">
        <v>36</v>
      </c>
      <c r="G190" s="22">
        <v>17</v>
      </c>
      <c r="H190" s="22">
        <v>9</v>
      </c>
    </row>
    <row r="191" spans="1:8">
      <c r="A191" s="22" t="s">
        <v>1241</v>
      </c>
      <c r="B191" s="22" t="s">
        <v>1245</v>
      </c>
      <c r="C191" s="6" t="s">
        <v>1246</v>
      </c>
      <c r="D191" s="22" t="s">
        <v>1247</v>
      </c>
      <c r="F191" s="22">
        <v>35</v>
      </c>
      <c r="G191" s="22">
        <v>11</v>
      </c>
      <c r="H191" s="22">
        <v>8</v>
      </c>
    </row>
    <row r="192" spans="1:8">
      <c r="A192" s="22" t="s">
        <v>1248</v>
      </c>
      <c r="B192" s="22" t="s">
        <v>1249</v>
      </c>
      <c r="C192" s="22" t="s">
        <v>1250</v>
      </c>
      <c r="D192" s="22" t="s">
        <v>739</v>
      </c>
      <c r="F192" s="22">
        <v>11</v>
      </c>
      <c r="G192" s="22">
        <v>3</v>
      </c>
      <c r="H192" s="22">
        <v>3</v>
      </c>
    </row>
    <row r="193" spans="1:8">
      <c r="A193" s="22" t="s">
        <v>1251</v>
      </c>
      <c r="B193" s="22" t="s">
        <v>1252</v>
      </c>
      <c r="C193" s="6" t="s">
        <v>1253</v>
      </c>
      <c r="D193" s="22">
        <v>4846500684</v>
      </c>
      <c r="F193" s="22">
        <v>44</v>
      </c>
      <c r="G193" s="22">
        <v>16</v>
      </c>
      <c r="H193" s="22">
        <v>4</v>
      </c>
    </row>
    <row r="194" spans="1:8">
      <c r="A194" s="22" t="s">
        <v>306</v>
      </c>
      <c r="B194" s="22" t="s">
        <v>1254</v>
      </c>
      <c r="C194" s="6" t="s">
        <v>1255</v>
      </c>
      <c r="D194" s="22">
        <v>6097744837</v>
      </c>
      <c r="F194" s="22">
        <v>35</v>
      </c>
      <c r="G194" s="22">
        <v>9</v>
      </c>
      <c r="H194" s="22">
        <v>12</v>
      </c>
    </row>
    <row r="195" spans="1:8">
      <c r="A195" s="22" t="s">
        <v>373</v>
      </c>
      <c r="B195" s="22" t="s">
        <v>1256</v>
      </c>
      <c r="C195" s="22" t="s">
        <v>1257</v>
      </c>
      <c r="D195" s="22" t="s">
        <v>1258</v>
      </c>
      <c r="F195" s="22">
        <v>12</v>
      </c>
      <c r="G195" s="22">
        <v>3</v>
      </c>
      <c r="H195" s="22">
        <v>0</v>
      </c>
    </row>
    <row r="196" spans="1:8">
      <c r="A196" s="22" t="s">
        <v>373</v>
      </c>
      <c r="B196" s="22" t="s">
        <v>1259</v>
      </c>
      <c r="C196" s="6" t="s">
        <v>1260</v>
      </c>
      <c r="D196" s="22">
        <v>2152627284</v>
      </c>
      <c r="F196" s="22">
        <v>17</v>
      </c>
      <c r="G196" s="22">
        <v>3</v>
      </c>
      <c r="H196" s="22">
        <v>8</v>
      </c>
    </row>
    <row r="197" spans="1:8">
      <c r="A197" s="22" t="s">
        <v>1261</v>
      </c>
      <c r="B197" s="22" t="s">
        <v>1262</v>
      </c>
      <c r="C197" s="6" t="s">
        <v>1263</v>
      </c>
      <c r="D197" s="22">
        <v>8144429167</v>
      </c>
      <c r="F197" s="22">
        <v>35</v>
      </c>
      <c r="G197" s="22">
        <v>9</v>
      </c>
      <c r="H197" s="22">
        <v>8</v>
      </c>
    </row>
    <row r="198" spans="1:8">
      <c r="A198" s="22" t="s">
        <v>1264</v>
      </c>
      <c r="B198" s="22" t="s">
        <v>1265</v>
      </c>
      <c r="C198" s="6" t="s">
        <v>1266</v>
      </c>
      <c r="D198" s="22">
        <v>6103892132</v>
      </c>
      <c r="F198" s="22">
        <v>48</v>
      </c>
      <c r="G198" s="22">
        <v>13</v>
      </c>
      <c r="H198" s="22">
        <v>7</v>
      </c>
    </row>
    <row r="199" spans="1:8">
      <c r="A199" s="22" t="s">
        <v>1267</v>
      </c>
      <c r="B199" s="22" t="s">
        <v>1268</v>
      </c>
      <c r="C199" s="22" t="s">
        <v>1269</v>
      </c>
      <c r="D199" s="22">
        <v>6149004007</v>
      </c>
      <c r="F199" s="22">
        <v>11</v>
      </c>
      <c r="G199" s="22">
        <v>1</v>
      </c>
      <c r="H199" s="22">
        <v>3</v>
      </c>
    </row>
    <row r="200" spans="1:8">
      <c r="A200" s="22" t="s">
        <v>1267</v>
      </c>
      <c r="B200" s="22" t="s">
        <v>1270</v>
      </c>
      <c r="C200" s="22" t="s">
        <v>1271</v>
      </c>
      <c r="D200" s="22">
        <v>5169658954</v>
      </c>
      <c r="F200" s="22">
        <v>12</v>
      </c>
      <c r="G200" s="22">
        <v>2</v>
      </c>
      <c r="H200" s="22">
        <v>3</v>
      </c>
    </row>
    <row r="201" spans="1:8">
      <c r="A201" s="22" t="s">
        <v>1272</v>
      </c>
      <c r="B201" s="22" t="s">
        <v>1273</v>
      </c>
      <c r="C201" s="22" t="s">
        <v>1274</v>
      </c>
      <c r="D201" s="22">
        <v>4842686550</v>
      </c>
      <c r="F201" s="22">
        <v>11</v>
      </c>
      <c r="G201" s="22">
        <v>3</v>
      </c>
      <c r="H201" s="22">
        <v>0</v>
      </c>
    </row>
    <row r="202" spans="1:8">
      <c r="A202" s="22" t="s">
        <v>1275</v>
      </c>
      <c r="B202" s="22" t="s">
        <v>1175</v>
      </c>
      <c r="C202" s="6" t="s">
        <v>1276</v>
      </c>
      <c r="D202" s="22">
        <v>2677761057</v>
      </c>
      <c r="F202" s="22">
        <v>52</v>
      </c>
      <c r="G202" s="22">
        <v>15</v>
      </c>
      <c r="H202" s="22">
        <v>9</v>
      </c>
    </row>
    <row r="203" spans="1:8">
      <c r="A203" s="22" t="s">
        <v>51</v>
      </c>
      <c r="B203" s="22" t="s">
        <v>548</v>
      </c>
      <c r="C203" s="6" t="s">
        <v>1277</v>
      </c>
      <c r="D203" s="22">
        <v>6102903112</v>
      </c>
      <c r="F203" s="22">
        <v>17</v>
      </c>
      <c r="G203" s="22">
        <v>6</v>
      </c>
      <c r="H203" s="22">
        <v>7</v>
      </c>
    </row>
    <row r="204" spans="1:8">
      <c r="A204" s="22" t="s">
        <v>1278</v>
      </c>
      <c r="B204" s="22" t="s">
        <v>1279</v>
      </c>
      <c r="C204" s="6" t="s">
        <v>1280</v>
      </c>
      <c r="D204" s="22">
        <v>4846326307</v>
      </c>
      <c r="F204" s="22">
        <v>33</v>
      </c>
      <c r="G204" s="22">
        <v>12</v>
      </c>
      <c r="H204" s="22">
        <v>7</v>
      </c>
    </row>
    <row r="205" spans="1:8">
      <c r="A205" s="22" t="s">
        <v>1281</v>
      </c>
      <c r="B205" s="22" t="s">
        <v>1282</v>
      </c>
      <c r="C205" s="6" t="s">
        <v>1283</v>
      </c>
      <c r="D205" s="22" t="s">
        <v>1284</v>
      </c>
      <c r="F205" s="22">
        <v>39</v>
      </c>
      <c r="G205" s="22">
        <v>8</v>
      </c>
      <c r="H205" s="22">
        <v>8</v>
      </c>
    </row>
    <row r="206" spans="1:8">
      <c r="A206" s="22" t="s">
        <v>1285</v>
      </c>
      <c r="B206" s="22" t="s">
        <v>1286</v>
      </c>
      <c r="C206" s="6" t="s">
        <v>1287</v>
      </c>
      <c r="D206" s="22">
        <v>12679028242</v>
      </c>
      <c r="F206" s="22">
        <v>31</v>
      </c>
      <c r="G206" s="22">
        <v>12</v>
      </c>
      <c r="H206" s="22">
        <v>7</v>
      </c>
    </row>
    <row r="207" spans="1:8">
      <c r="A207" s="22" t="s">
        <v>220</v>
      </c>
      <c r="B207" s="22" t="s">
        <v>1288</v>
      </c>
      <c r="C207" s="22" t="s">
        <v>1289</v>
      </c>
      <c r="D207" s="22">
        <v>8623540035</v>
      </c>
      <c r="F207" s="22">
        <v>6</v>
      </c>
      <c r="G207" s="22">
        <v>0</v>
      </c>
      <c r="H207" s="22">
        <v>0</v>
      </c>
    </row>
    <row r="208" spans="1:8">
      <c r="A208" s="22" t="s">
        <v>1290</v>
      </c>
      <c r="B208" s="22" t="s">
        <v>1291</v>
      </c>
      <c r="C208" s="6" t="s">
        <v>1292</v>
      </c>
      <c r="D208" s="22" t="s">
        <v>739</v>
      </c>
      <c r="F208" s="22">
        <v>46</v>
      </c>
      <c r="G208" s="22">
        <v>13</v>
      </c>
      <c r="H208" s="22">
        <v>3</v>
      </c>
    </row>
    <row r="209" spans="1:8">
      <c r="A209" s="22" t="s">
        <v>1293</v>
      </c>
      <c r="B209" s="22" t="s">
        <v>1294</v>
      </c>
      <c r="C209" s="6" t="s">
        <v>1295</v>
      </c>
      <c r="D209" s="22">
        <v>8144751755</v>
      </c>
      <c r="F209" s="22">
        <v>40</v>
      </c>
      <c r="G209" s="22">
        <v>16</v>
      </c>
      <c r="H209" s="22">
        <v>6</v>
      </c>
    </row>
    <row r="210" spans="1:8">
      <c r="A210" s="22" t="s">
        <v>1296</v>
      </c>
      <c r="B210" s="22" t="s">
        <v>1297</v>
      </c>
      <c r="C210" s="6" t="s">
        <v>1298</v>
      </c>
      <c r="D210" s="22">
        <v>5185906443</v>
      </c>
      <c r="F210" s="22">
        <v>44</v>
      </c>
      <c r="G210" s="22">
        <v>15</v>
      </c>
      <c r="H210" s="22">
        <v>10</v>
      </c>
    </row>
    <row r="211" spans="1:8">
      <c r="A211" s="22" t="s">
        <v>1222</v>
      </c>
      <c r="B211" s="22" t="s">
        <v>1299</v>
      </c>
      <c r="C211" s="22" t="s">
        <v>1300</v>
      </c>
      <c r="D211" s="22">
        <v>5705602682</v>
      </c>
      <c r="F211" s="22">
        <v>9</v>
      </c>
      <c r="G211" s="22">
        <v>3</v>
      </c>
      <c r="H211" s="22">
        <v>0</v>
      </c>
    </row>
    <row r="212" spans="1:8">
      <c r="A212" s="22" t="s">
        <v>1301</v>
      </c>
      <c r="B212" s="22" t="s">
        <v>1302</v>
      </c>
      <c r="C212" s="6" t="s">
        <v>1303</v>
      </c>
      <c r="D212" s="22">
        <v>4127131613</v>
      </c>
      <c r="F212" s="22">
        <v>46</v>
      </c>
      <c r="G212" s="22">
        <v>16</v>
      </c>
      <c r="H212" s="22">
        <v>0</v>
      </c>
    </row>
    <row r="213" spans="1:8">
      <c r="A213" s="22" t="s">
        <v>284</v>
      </c>
      <c r="B213" s="22" t="s">
        <v>1304</v>
      </c>
      <c r="C213" s="6" t="s">
        <v>1305</v>
      </c>
      <c r="D213" s="22">
        <v>4848491331</v>
      </c>
      <c r="F213" s="22">
        <v>40</v>
      </c>
      <c r="G213" s="22">
        <v>13</v>
      </c>
      <c r="H213" s="22">
        <v>10</v>
      </c>
    </row>
    <row r="214" spans="1:8">
      <c r="A214" s="22" t="s">
        <v>1306</v>
      </c>
      <c r="B214" s="22" t="s">
        <v>1307</v>
      </c>
      <c r="C214" s="6" t="s">
        <v>1308</v>
      </c>
      <c r="D214" s="22">
        <v>8148628590</v>
      </c>
      <c r="F214" s="22">
        <v>51</v>
      </c>
      <c r="G214" s="22">
        <v>15</v>
      </c>
      <c r="H214" s="22">
        <v>11</v>
      </c>
    </row>
    <row r="215" spans="1:8">
      <c r="A215" s="22" t="s">
        <v>1309</v>
      </c>
      <c r="B215" s="22" t="s">
        <v>1310</v>
      </c>
      <c r="C215" s="6" t="s">
        <v>1311</v>
      </c>
      <c r="D215" s="22" t="s">
        <v>1312</v>
      </c>
      <c r="F215" s="22">
        <v>50</v>
      </c>
      <c r="G215" s="22">
        <v>13</v>
      </c>
      <c r="H215" s="22">
        <v>0</v>
      </c>
    </row>
    <row r="216" spans="1:8">
      <c r="A216" s="22" t="s">
        <v>1313</v>
      </c>
      <c r="B216" s="22" t="s">
        <v>1314</v>
      </c>
      <c r="C216" s="6" t="s">
        <v>1315</v>
      </c>
      <c r="D216" s="22">
        <v>7033505769</v>
      </c>
      <c r="F216" s="22">
        <v>26</v>
      </c>
      <c r="G216" s="22">
        <v>8</v>
      </c>
      <c r="H216" s="22">
        <v>7</v>
      </c>
    </row>
    <row r="217" spans="1:8">
      <c r="A217" s="22" t="s">
        <v>1316</v>
      </c>
      <c r="B217" s="22" t="s">
        <v>1317</v>
      </c>
      <c r="C217" s="6" t="s">
        <v>1318</v>
      </c>
      <c r="D217" s="22" t="s">
        <v>1319</v>
      </c>
      <c r="F217" s="22">
        <v>22</v>
      </c>
      <c r="G217" s="22">
        <v>3</v>
      </c>
      <c r="H217" s="22">
        <v>10</v>
      </c>
    </row>
    <row r="218" spans="1:8">
      <c r="A218" s="22" t="s">
        <v>1320</v>
      </c>
      <c r="B218" s="22" t="s">
        <v>1321</v>
      </c>
      <c r="C218" s="6" t="s">
        <v>1322</v>
      </c>
      <c r="D218" s="22">
        <v>2677612720</v>
      </c>
      <c r="F218" s="22">
        <v>41</v>
      </c>
      <c r="G218" s="22">
        <v>16</v>
      </c>
      <c r="H218" s="22">
        <v>9</v>
      </c>
    </row>
    <row r="219" spans="1:8">
      <c r="A219" s="22" t="s">
        <v>1320</v>
      </c>
      <c r="B219" s="22" t="s">
        <v>1323</v>
      </c>
      <c r="C219" s="6" t="s">
        <v>1324</v>
      </c>
      <c r="D219" s="22">
        <v>6103298024</v>
      </c>
      <c r="F219" s="22">
        <v>46</v>
      </c>
      <c r="G219" s="22">
        <v>14</v>
      </c>
      <c r="H219" s="22">
        <v>11</v>
      </c>
    </row>
    <row r="220" spans="1:8">
      <c r="A220" s="22" t="s">
        <v>1325</v>
      </c>
      <c r="B220" s="22" t="s">
        <v>1326</v>
      </c>
      <c r="C220" s="22" t="s">
        <v>1327</v>
      </c>
      <c r="D220" s="22">
        <v>4693446145</v>
      </c>
      <c r="F220" s="22">
        <v>12</v>
      </c>
      <c r="G220" s="22">
        <v>1</v>
      </c>
      <c r="H220" s="22">
        <v>1</v>
      </c>
    </row>
    <row r="221" spans="1:8">
      <c r="A221" s="22" t="s">
        <v>1328</v>
      </c>
      <c r="B221" s="22" t="s">
        <v>246</v>
      </c>
      <c r="C221" s="6" t="s">
        <v>1329</v>
      </c>
      <c r="D221" s="22">
        <v>6306568657</v>
      </c>
      <c r="F221" s="22">
        <v>65</v>
      </c>
      <c r="G221" s="22">
        <v>17</v>
      </c>
      <c r="H221" s="22">
        <v>3</v>
      </c>
    </row>
    <row r="222" spans="1:8">
      <c r="A222" s="22" t="s">
        <v>156</v>
      </c>
      <c r="B222" s="22" t="s">
        <v>1330</v>
      </c>
      <c r="C222" s="6" t="s">
        <v>1331</v>
      </c>
      <c r="D222" s="22">
        <v>8147773319</v>
      </c>
      <c r="F222" s="22">
        <v>32</v>
      </c>
      <c r="G222" s="22">
        <v>11</v>
      </c>
      <c r="H222" s="22">
        <v>7</v>
      </c>
    </row>
    <row r="223" spans="1:8">
      <c r="A223" s="22" t="s">
        <v>156</v>
      </c>
      <c r="B223" s="22" t="s">
        <v>1332</v>
      </c>
      <c r="C223" s="6" t="s">
        <v>1333</v>
      </c>
      <c r="D223" s="22">
        <v>6108832225</v>
      </c>
      <c r="F223" s="22">
        <v>33</v>
      </c>
      <c r="G223" s="22">
        <v>7</v>
      </c>
      <c r="H223" s="22">
        <v>8</v>
      </c>
    </row>
    <row r="224" spans="1:8">
      <c r="A224" s="22" t="s">
        <v>1334</v>
      </c>
      <c r="B224" s="22" t="s">
        <v>1335</v>
      </c>
      <c r="C224" s="22" t="s">
        <v>1336</v>
      </c>
      <c r="D224" s="22">
        <v>8473854881</v>
      </c>
      <c r="F224" s="22">
        <v>9</v>
      </c>
      <c r="G224" s="22">
        <v>2</v>
      </c>
      <c r="H224" s="22">
        <v>2</v>
      </c>
    </row>
    <row r="225" spans="1:8">
      <c r="A225" s="22" t="s">
        <v>1337</v>
      </c>
      <c r="B225" s="22" t="s">
        <v>1338</v>
      </c>
      <c r="C225" s="22" t="s">
        <v>1339</v>
      </c>
      <c r="D225" s="22">
        <v>4089603514</v>
      </c>
      <c r="F225" s="22">
        <v>11</v>
      </c>
      <c r="G225" s="22">
        <v>2</v>
      </c>
      <c r="H225" s="22">
        <v>0</v>
      </c>
    </row>
    <row r="226" spans="1:8">
      <c r="A226" s="22" t="s">
        <v>226</v>
      </c>
      <c r="B226" s="22" t="s">
        <v>1340</v>
      </c>
      <c r="C226" s="6" t="s">
        <v>1341</v>
      </c>
      <c r="D226" s="22">
        <v>2014687623</v>
      </c>
      <c r="F226" s="22" t="s">
        <v>739</v>
      </c>
      <c r="G226" s="22" t="s">
        <v>739</v>
      </c>
      <c r="H226" s="22">
        <v>12</v>
      </c>
    </row>
    <row r="227" spans="1:8">
      <c r="A227" s="22" t="s">
        <v>226</v>
      </c>
      <c r="B227" s="22" t="s">
        <v>1342</v>
      </c>
      <c r="C227" s="6" t="s">
        <v>1343</v>
      </c>
      <c r="D227" s="22" t="s">
        <v>1344</v>
      </c>
      <c r="F227" s="22">
        <v>34</v>
      </c>
      <c r="G227" s="22">
        <v>8</v>
      </c>
      <c r="H227" s="22">
        <v>11</v>
      </c>
    </row>
    <row r="228" spans="1:8">
      <c r="A228" s="22" t="s">
        <v>226</v>
      </c>
      <c r="B228" s="22" t="s">
        <v>1345</v>
      </c>
      <c r="C228" s="6" t="s">
        <v>1346</v>
      </c>
      <c r="D228" s="22">
        <v>6092873593</v>
      </c>
      <c r="F228" s="22">
        <v>24</v>
      </c>
      <c r="G228" s="22">
        <v>5</v>
      </c>
      <c r="H228" s="22">
        <v>8</v>
      </c>
    </row>
    <row r="229" spans="1:8">
      <c r="A229" s="22" t="s">
        <v>226</v>
      </c>
      <c r="B229" s="22" t="s">
        <v>1347</v>
      </c>
      <c r="C229" s="6" t="s">
        <v>1348</v>
      </c>
      <c r="D229" s="22">
        <v>6106208564</v>
      </c>
      <c r="F229" s="22">
        <v>51</v>
      </c>
      <c r="G229" s="22">
        <v>10</v>
      </c>
      <c r="H229" s="22">
        <v>7</v>
      </c>
    </row>
    <row r="230" spans="1:8">
      <c r="A230" s="22" t="s">
        <v>128</v>
      </c>
      <c r="B230" s="22" t="s">
        <v>1349</v>
      </c>
      <c r="C230" s="6" t="s">
        <v>1350</v>
      </c>
      <c r="D230" s="22">
        <v>7178312560</v>
      </c>
      <c r="F230" s="22">
        <v>34</v>
      </c>
      <c r="G230" s="22">
        <v>7</v>
      </c>
      <c r="H230" s="22">
        <v>7</v>
      </c>
    </row>
    <row r="231" spans="1:8">
      <c r="A231" s="22" t="s">
        <v>128</v>
      </c>
      <c r="B231" s="22" t="s">
        <v>1351</v>
      </c>
      <c r="C231" s="6" t="s">
        <v>1352</v>
      </c>
      <c r="D231" s="22" t="s">
        <v>1353</v>
      </c>
      <c r="F231" s="22">
        <v>65</v>
      </c>
      <c r="G231" s="22">
        <v>18</v>
      </c>
      <c r="H231" s="22">
        <v>10</v>
      </c>
    </row>
    <row r="232" spans="1:8">
      <c r="A232" s="22" t="s">
        <v>128</v>
      </c>
      <c r="B232" s="22" t="s">
        <v>1354</v>
      </c>
      <c r="C232" s="6" t="s">
        <v>1355</v>
      </c>
      <c r="D232" s="22">
        <v>4436186783</v>
      </c>
      <c r="F232" s="22">
        <v>32</v>
      </c>
      <c r="G232" s="22">
        <v>6</v>
      </c>
      <c r="H232" s="22">
        <v>8</v>
      </c>
    </row>
    <row r="233" spans="1:8">
      <c r="A233" s="22" t="s">
        <v>1356</v>
      </c>
      <c r="B233" s="22" t="s">
        <v>1357</v>
      </c>
      <c r="C233" s="6" t="s">
        <v>1358</v>
      </c>
      <c r="D233" s="22">
        <v>6025099079</v>
      </c>
      <c r="F233" s="22">
        <v>34</v>
      </c>
      <c r="G233" s="22">
        <v>5</v>
      </c>
      <c r="H233" s="22">
        <v>12</v>
      </c>
    </row>
    <row r="234" spans="1:8">
      <c r="A234" s="22" t="s">
        <v>128</v>
      </c>
      <c r="B234" s="22" t="s">
        <v>1359</v>
      </c>
      <c r="C234" s="6" t="s">
        <v>1360</v>
      </c>
      <c r="D234" s="22">
        <v>2157381211</v>
      </c>
      <c r="F234" s="22">
        <v>27</v>
      </c>
      <c r="G234" s="22">
        <v>9</v>
      </c>
      <c r="H234" s="22">
        <v>12</v>
      </c>
    </row>
    <row r="235" spans="1:8">
      <c r="A235" s="22" t="s">
        <v>1361</v>
      </c>
      <c r="B235" s="22" t="s">
        <v>541</v>
      </c>
      <c r="C235" s="6" t="s">
        <v>1362</v>
      </c>
      <c r="D235" s="22" t="s">
        <v>739</v>
      </c>
      <c r="F235" s="22">
        <v>30</v>
      </c>
      <c r="G235" s="22">
        <v>7</v>
      </c>
      <c r="H235" s="22">
        <v>7</v>
      </c>
    </row>
    <row r="236" spans="1:8">
      <c r="A236" s="22" t="s">
        <v>1363</v>
      </c>
      <c r="B236" s="22" t="s">
        <v>786</v>
      </c>
      <c r="C236" s="6" t="s">
        <v>1364</v>
      </c>
      <c r="D236" s="22">
        <v>4124919895</v>
      </c>
      <c r="F236" s="22">
        <v>28</v>
      </c>
      <c r="G236" s="22">
        <v>7</v>
      </c>
      <c r="H236" s="22">
        <v>7</v>
      </c>
    </row>
    <row r="237" spans="1:8">
      <c r="A237" s="22" t="s">
        <v>1365</v>
      </c>
      <c r="B237" s="22" t="s">
        <v>1366</v>
      </c>
      <c r="C237" s="6" t="s">
        <v>1367</v>
      </c>
      <c r="D237" s="22">
        <v>2152728144</v>
      </c>
      <c r="F237" s="22">
        <v>13</v>
      </c>
      <c r="G237" s="22">
        <v>2</v>
      </c>
      <c r="H237" s="22">
        <v>9</v>
      </c>
    </row>
    <row r="238" spans="1:8">
      <c r="A238" s="22" t="s">
        <v>1368</v>
      </c>
      <c r="B238" s="22" t="s">
        <v>1369</v>
      </c>
      <c r="C238" s="6" t="s">
        <v>1370</v>
      </c>
      <c r="D238" s="22">
        <v>2672061892</v>
      </c>
      <c r="F238" s="22">
        <v>45</v>
      </c>
      <c r="G238" s="22">
        <v>12</v>
      </c>
      <c r="H238" s="22">
        <v>9</v>
      </c>
    </row>
    <row r="239" spans="1:8">
      <c r="A239" s="22" t="s">
        <v>1371</v>
      </c>
      <c r="B239" s="22" t="s">
        <v>67</v>
      </c>
      <c r="C239" s="6" t="s">
        <v>1372</v>
      </c>
      <c r="D239" s="22">
        <v>7177796870</v>
      </c>
      <c r="F239" s="22">
        <v>19</v>
      </c>
      <c r="G239" s="22">
        <v>5</v>
      </c>
      <c r="H239" s="22">
        <v>8</v>
      </c>
    </row>
    <row r="240" spans="1:8">
      <c r="A240" s="22" t="s">
        <v>1373</v>
      </c>
      <c r="B240" s="22" t="s">
        <v>1374</v>
      </c>
      <c r="C240" s="6" t="s">
        <v>1375</v>
      </c>
      <c r="D240" s="22">
        <v>8147778378</v>
      </c>
      <c r="F240" s="22">
        <v>30</v>
      </c>
      <c r="G240" s="22">
        <v>5</v>
      </c>
      <c r="H240" s="22">
        <v>7</v>
      </c>
    </row>
    <row r="241" spans="1:8">
      <c r="A241" s="22" t="s">
        <v>1376</v>
      </c>
      <c r="B241" s="22" t="s">
        <v>1377</v>
      </c>
      <c r="C241" s="6" t="s">
        <v>1378</v>
      </c>
      <c r="D241" s="22">
        <v>6105172916</v>
      </c>
      <c r="F241" s="22">
        <v>38</v>
      </c>
      <c r="G241" s="22">
        <v>13</v>
      </c>
      <c r="H241" s="22">
        <v>0</v>
      </c>
    </row>
    <row r="242" spans="1:8">
      <c r="A242" s="22" t="s">
        <v>1379</v>
      </c>
      <c r="B242" s="22" t="s">
        <v>1380</v>
      </c>
      <c r="C242" s="6" t="s">
        <v>1381</v>
      </c>
      <c r="D242" s="22">
        <v>9734776692</v>
      </c>
      <c r="F242" s="22" t="s">
        <v>739</v>
      </c>
      <c r="G242" s="22">
        <v>12</v>
      </c>
      <c r="H242" s="22">
        <v>7</v>
      </c>
    </row>
    <row r="243" spans="1:8">
      <c r="A243" s="22" t="s">
        <v>1382</v>
      </c>
      <c r="B243" s="22" t="s">
        <v>1383</v>
      </c>
      <c r="C243" s="6" t="s">
        <v>1384</v>
      </c>
      <c r="D243" s="22">
        <v>2064653636</v>
      </c>
      <c r="F243" s="22">
        <v>19</v>
      </c>
      <c r="G243" s="22">
        <v>5</v>
      </c>
      <c r="H243" s="22">
        <v>7</v>
      </c>
    </row>
    <row r="244" spans="1:8">
      <c r="A244" s="22" t="s">
        <v>1385</v>
      </c>
      <c r="B244" s="22" t="s">
        <v>1386</v>
      </c>
      <c r="C244" s="22" t="s">
        <v>1387</v>
      </c>
      <c r="D244" s="22" t="s">
        <v>1388</v>
      </c>
      <c r="F244" s="22">
        <v>8</v>
      </c>
      <c r="G244" s="22">
        <v>2</v>
      </c>
      <c r="H244" s="22">
        <v>3</v>
      </c>
    </row>
    <row r="245" spans="1:8">
      <c r="A245" s="22" t="s">
        <v>1385</v>
      </c>
      <c r="B245" s="22" t="s">
        <v>1386</v>
      </c>
      <c r="C245" s="22" t="s">
        <v>1387</v>
      </c>
      <c r="D245" s="22">
        <v>8144049955</v>
      </c>
      <c r="F245" s="22">
        <v>7</v>
      </c>
      <c r="G245" s="22">
        <v>2</v>
      </c>
      <c r="H245" s="22">
        <v>2</v>
      </c>
    </row>
    <row r="246" spans="1:8">
      <c r="A246" s="22" t="s">
        <v>1385</v>
      </c>
      <c r="B246" s="22" t="s">
        <v>1389</v>
      </c>
      <c r="C246" s="6" t="s">
        <v>1390</v>
      </c>
      <c r="D246" s="22">
        <v>4848899935</v>
      </c>
      <c r="F246" s="22">
        <v>26</v>
      </c>
      <c r="G246" s="22">
        <v>8</v>
      </c>
      <c r="H246" s="22">
        <v>12</v>
      </c>
    </row>
    <row r="247" spans="1:8">
      <c r="A247" s="22" t="s">
        <v>1391</v>
      </c>
      <c r="B247" s="22" t="s">
        <v>530</v>
      </c>
      <c r="C247" s="22" t="s">
        <v>1392</v>
      </c>
      <c r="D247" s="22">
        <v>7175996794</v>
      </c>
      <c r="F247" s="22">
        <v>3</v>
      </c>
      <c r="G247" s="22">
        <v>0</v>
      </c>
      <c r="H247" s="22">
        <v>0</v>
      </c>
    </row>
    <row r="248" spans="1:8">
      <c r="A248" s="22" t="s">
        <v>1393</v>
      </c>
      <c r="B248" s="22" t="s">
        <v>1394</v>
      </c>
      <c r="C248" s="6" t="s">
        <v>1395</v>
      </c>
      <c r="D248" s="22" t="s">
        <v>1396</v>
      </c>
      <c r="F248" s="22">
        <v>20</v>
      </c>
      <c r="G248" s="22">
        <v>5</v>
      </c>
      <c r="H248" s="22">
        <v>7</v>
      </c>
    </row>
    <row r="249" spans="1:8">
      <c r="A249" s="22" t="s">
        <v>190</v>
      </c>
      <c r="B249" s="22" t="s">
        <v>1397</v>
      </c>
      <c r="C249" s="22" t="s">
        <v>1398</v>
      </c>
      <c r="D249" s="22" t="s">
        <v>1399</v>
      </c>
      <c r="F249" s="22">
        <v>11</v>
      </c>
      <c r="G249" s="22">
        <v>2</v>
      </c>
      <c r="H249" s="22">
        <v>3</v>
      </c>
    </row>
    <row r="250" spans="1:8">
      <c r="A250" s="22" t="s">
        <v>190</v>
      </c>
      <c r="B250" s="22" t="s">
        <v>548</v>
      </c>
      <c r="C250" s="6" t="s">
        <v>1400</v>
      </c>
      <c r="D250" s="22">
        <v>7177795114</v>
      </c>
      <c r="F250" s="22">
        <v>28</v>
      </c>
      <c r="G250" s="22">
        <v>5</v>
      </c>
      <c r="H250" s="22">
        <v>9</v>
      </c>
    </row>
    <row r="251" spans="1:8">
      <c r="A251" s="22" t="s">
        <v>1401</v>
      </c>
      <c r="B251" s="22" t="s">
        <v>1402</v>
      </c>
      <c r="C251" s="22" t="s">
        <v>1403</v>
      </c>
      <c r="D251" s="22">
        <v>7179510930</v>
      </c>
      <c r="F251" s="22">
        <v>9</v>
      </c>
      <c r="G251" s="22">
        <v>0</v>
      </c>
      <c r="H251" s="22">
        <v>1</v>
      </c>
    </row>
    <row r="252" spans="1:8">
      <c r="A252" s="22" t="s">
        <v>1404</v>
      </c>
      <c r="B252" s="22" t="s">
        <v>1405</v>
      </c>
      <c r="C252" s="6" t="s">
        <v>1406</v>
      </c>
      <c r="D252" s="22">
        <v>9739517433</v>
      </c>
      <c r="F252" s="22">
        <v>32</v>
      </c>
      <c r="G252" s="22">
        <v>9</v>
      </c>
      <c r="H252" s="22">
        <v>9</v>
      </c>
    </row>
    <row r="253" spans="1:8">
      <c r="A253" s="22" t="s">
        <v>1407</v>
      </c>
      <c r="B253" s="22" t="s">
        <v>1408</v>
      </c>
      <c r="C253" s="6" t="s">
        <v>1409</v>
      </c>
      <c r="D253" s="22" t="s">
        <v>1410</v>
      </c>
      <c r="F253" s="22">
        <v>48</v>
      </c>
      <c r="G253" s="22">
        <v>15</v>
      </c>
      <c r="H253" s="22">
        <v>11</v>
      </c>
    </row>
    <row r="254" spans="1:8">
      <c r="A254" s="22" t="s">
        <v>398</v>
      </c>
      <c r="B254" s="22" t="s">
        <v>1411</v>
      </c>
      <c r="C254" s="6" t="s">
        <v>1412</v>
      </c>
      <c r="D254" s="22">
        <v>7249892714</v>
      </c>
      <c r="F254" s="22">
        <v>13</v>
      </c>
      <c r="G254" s="22">
        <v>1</v>
      </c>
      <c r="H254" s="22">
        <v>8</v>
      </c>
    </row>
    <row r="255" spans="1:8">
      <c r="A255" s="22" t="s">
        <v>398</v>
      </c>
      <c r="B255" s="22" t="s">
        <v>1413</v>
      </c>
      <c r="C255" s="6" t="s">
        <v>1414</v>
      </c>
      <c r="D255" s="22">
        <v>7249006373</v>
      </c>
      <c r="F255" s="22">
        <v>59</v>
      </c>
      <c r="G255" s="22">
        <v>17</v>
      </c>
      <c r="H255" s="22">
        <v>8</v>
      </c>
    </row>
    <row r="256" spans="1:8">
      <c r="A256" s="22" t="s">
        <v>398</v>
      </c>
      <c r="B256" s="22" t="s">
        <v>1415</v>
      </c>
      <c r="C256" s="6" t="s">
        <v>1416</v>
      </c>
      <c r="D256" s="22">
        <v>5165784595</v>
      </c>
      <c r="F256" s="22">
        <v>45</v>
      </c>
      <c r="G256" s="22">
        <v>10</v>
      </c>
      <c r="H256" s="22">
        <v>9</v>
      </c>
    </row>
    <row r="257" spans="1:8">
      <c r="A257" s="22" t="s">
        <v>1417</v>
      </c>
      <c r="B257" s="22" t="s">
        <v>1418</v>
      </c>
      <c r="C257" s="6" t="s">
        <v>1419</v>
      </c>
      <c r="D257" s="22">
        <v>6464316855</v>
      </c>
      <c r="F257" s="22">
        <v>28</v>
      </c>
      <c r="G257" s="22">
        <v>6</v>
      </c>
      <c r="H257" s="22">
        <v>9</v>
      </c>
    </row>
    <row r="258" spans="1:8">
      <c r="A258" s="22" t="s">
        <v>1420</v>
      </c>
      <c r="B258" s="22" t="s">
        <v>1421</v>
      </c>
      <c r="C258" s="22">
        <v>2673385501</v>
      </c>
      <c r="D258" s="22">
        <v>2673385501</v>
      </c>
      <c r="F258" s="22">
        <v>11</v>
      </c>
      <c r="G258" s="22">
        <v>2</v>
      </c>
      <c r="H258" s="22">
        <v>2</v>
      </c>
    </row>
    <row r="259" spans="1:8">
      <c r="A259" s="22" t="s">
        <v>1422</v>
      </c>
      <c r="B259" s="22" t="s">
        <v>1423</v>
      </c>
      <c r="C259" s="22" t="s">
        <v>1424</v>
      </c>
      <c r="D259" s="22">
        <v>4847578728</v>
      </c>
      <c r="F259" s="22">
        <v>7</v>
      </c>
      <c r="G259" s="22">
        <v>2</v>
      </c>
      <c r="H259" s="22">
        <v>3</v>
      </c>
    </row>
    <row r="260" spans="1:8">
      <c r="A260" s="22" t="s">
        <v>1425</v>
      </c>
      <c r="B260" s="22" t="s">
        <v>385</v>
      </c>
      <c r="C260" s="6" t="s">
        <v>1426</v>
      </c>
      <c r="D260" s="22">
        <v>7178574916</v>
      </c>
      <c r="F260" s="22">
        <v>32</v>
      </c>
      <c r="G260" s="22">
        <v>8</v>
      </c>
      <c r="H260" s="22">
        <v>9</v>
      </c>
    </row>
    <row r="261" spans="1:8">
      <c r="A261" s="22" t="s">
        <v>1427</v>
      </c>
      <c r="B261" s="22" t="s">
        <v>1428</v>
      </c>
      <c r="C261" s="6" t="s">
        <v>1429</v>
      </c>
      <c r="D261" s="22">
        <v>6262505773</v>
      </c>
      <c r="F261" s="22">
        <v>24</v>
      </c>
      <c r="G261" s="22">
        <v>6</v>
      </c>
      <c r="H261" s="22">
        <v>7</v>
      </c>
    </row>
    <row r="262" spans="1:8">
      <c r="A262" s="22" t="s">
        <v>1430</v>
      </c>
      <c r="B262" s="22" t="s">
        <v>1431</v>
      </c>
      <c r="C262" s="6" t="s">
        <v>1432</v>
      </c>
      <c r="D262" s="22">
        <v>4125277446</v>
      </c>
      <c r="F262" s="22">
        <v>49</v>
      </c>
      <c r="G262" s="22">
        <v>14</v>
      </c>
      <c r="H262" s="22">
        <v>6</v>
      </c>
    </row>
    <row r="263" spans="1:8">
      <c r="A263" s="22" t="s">
        <v>1433</v>
      </c>
      <c r="B263" s="22" t="s">
        <v>1434</v>
      </c>
      <c r="C263" s="6" t="s">
        <v>1435</v>
      </c>
      <c r="D263" s="22" t="s">
        <v>739</v>
      </c>
      <c r="F263" s="22">
        <v>42</v>
      </c>
      <c r="G263" s="22">
        <v>12</v>
      </c>
      <c r="H263" s="22">
        <v>9</v>
      </c>
    </row>
  </sheetData>
  <autoFilter ref="A1:I263" xr:uid="{D086DB1E-14FC-8E4B-ABDB-ED4BF8508631}"/>
  <sortState xmlns:xlrd2="http://schemas.microsoft.com/office/spreadsheetml/2017/richdata2" ref="A2:I263">
    <sortCondition ref="A1"/>
  </sortState>
  <hyperlinks>
    <hyperlink ref="C2" r:id="rId1" xr:uid="{A69783D5-B5C8-5E4D-A225-92EB9826118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FD60-850B-2E43-BF9E-FDBCCE94EC50}">
  <dimension ref="A1:S41"/>
  <sheetViews>
    <sheetView workbookViewId="0">
      <pane ySplit="1" topLeftCell="A2" activePane="bottomLeft" state="frozen"/>
      <selection pane="bottomLeft" activeCell="A17" sqref="A17"/>
    </sheetView>
  </sheetViews>
  <sheetFormatPr baseColWidth="10" defaultColWidth="10.83203125" defaultRowHeight="16"/>
  <cols>
    <col min="1" max="1" width="10.83203125" style="22"/>
    <col min="2" max="2" width="15.5" style="22" customWidth="1"/>
    <col min="3" max="3" width="0" style="22" hidden="1" customWidth="1"/>
    <col min="4" max="4" width="12.6640625" style="22" hidden="1" customWidth="1"/>
    <col min="5" max="5" width="12.5" style="22" bestFit="1" customWidth="1"/>
    <col min="6" max="6" width="22.1640625" style="22" bestFit="1" customWidth="1"/>
    <col min="7" max="7" width="10.83203125" style="22"/>
    <col min="8" max="8" width="17.6640625" style="22" bestFit="1" customWidth="1"/>
    <col min="9" max="15" width="10.83203125" style="22"/>
    <col min="16" max="16" width="7.83203125" style="22" bestFit="1" customWidth="1"/>
    <col min="17" max="18" width="10.83203125" style="22"/>
    <col min="19" max="19" width="25.33203125" style="22" bestFit="1" customWidth="1"/>
    <col min="20" max="16384" width="10.83203125" style="22"/>
  </cols>
  <sheetData>
    <row r="1" spans="1:19" s="10" customFormat="1">
      <c r="A1" s="24" t="s">
        <v>696</v>
      </c>
      <c r="B1" s="25" t="s">
        <v>0</v>
      </c>
      <c r="C1" s="25" t="s">
        <v>1</v>
      </c>
      <c r="D1" s="25" t="s">
        <v>2</v>
      </c>
      <c r="E1" s="11" t="s">
        <v>1436</v>
      </c>
      <c r="F1" s="11" t="s">
        <v>1437</v>
      </c>
      <c r="G1" s="11" t="s">
        <v>1438</v>
      </c>
      <c r="H1" s="11" t="s">
        <v>1439</v>
      </c>
      <c r="I1" s="11" t="s">
        <v>1440</v>
      </c>
      <c r="J1" s="11" t="s">
        <v>1441</v>
      </c>
      <c r="K1" s="10" t="s">
        <v>1442</v>
      </c>
      <c r="L1" s="10" t="s">
        <v>1443</v>
      </c>
      <c r="M1" s="10" t="s">
        <v>1444</v>
      </c>
      <c r="N1" s="10" t="s">
        <v>1445</v>
      </c>
      <c r="O1" s="10" t="s">
        <v>1446</v>
      </c>
      <c r="P1" s="10" t="s">
        <v>1447</v>
      </c>
      <c r="Q1" s="10" t="s">
        <v>1448</v>
      </c>
      <c r="R1" s="10" t="s">
        <v>1449</v>
      </c>
      <c r="S1" s="10" t="s">
        <v>12</v>
      </c>
    </row>
    <row r="2" spans="1:19">
      <c r="A2" s="4">
        <v>1</v>
      </c>
      <c r="B2" s="22" t="s">
        <v>33</v>
      </c>
      <c r="C2" s="22" t="s">
        <v>34</v>
      </c>
      <c r="D2" s="22" t="s">
        <v>35</v>
      </c>
      <c r="G2" s="22">
        <v>40</v>
      </c>
      <c r="Q2" s="9"/>
    </row>
    <row r="3" spans="1:19">
      <c r="A3" s="4">
        <v>2</v>
      </c>
      <c r="B3" s="22" t="s">
        <v>44</v>
      </c>
      <c r="C3" s="22" t="s">
        <v>45</v>
      </c>
      <c r="D3" s="22" t="s">
        <v>46</v>
      </c>
      <c r="E3" s="6">
        <v>40</v>
      </c>
      <c r="F3" s="52"/>
      <c r="G3" s="6">
        <v>40</v>
      </c>
      <c r="H3" s="26"/>
      <c r="I3" s="6"/>
      <c r="J3" s="6"/>
      <c r="K3" s="6"/>
      <c r="L3" s="6" t="s">
        <v>1800</v>
      </c>
      <c r="M3" s="6"/>
      <c r="N3" s="6"/>
      <c r="P3" s="6"/>
      <c r="Q3" s="6"/>
      <c r="R3" s="6"/>
      <c r="S3" s="6"/>
    </row>
    <row r="4" spans="1:19">
      <c r="A4" s="4">
        <v>3</v>
      </c>
      <c r="B4" s="22" t="s">
        <v>50</v>
      </c>
      <c r="C4" s="22" t="s">
        <v>51</v>
      </c>
      <c r="D4" s="22" t="s">
        <v>52</v>
      </c>
      <c r="E4" s="6">
        <v>40</v>
      </c>
      <c r="F4" s="52"/>
      <c r="G4" s="6"/>
      <c r="H4" s="26"/>
      <c r="I4" s="6"/>
      <c r="J4" s="6"/>
      <c r="K4" s="6"/>
      <c r="L4" s="6"/>
      <c r="M4" s="6"/>
      <c r="N4" s="6"/>
      <c r="O4" s="22">
        <v>40</v>
      </c>
      <c r="P4" s="6" t="s">
        <v>705</v>
      </c>
      <c r="Q4" s="26">
        <v>43718</v>
      </c>
      <c r="R4" s="6" t="s">
        <v>43</v>
      </c>
      <c r="S4" s="6"/>
    </row>
    <row r="5" spans="1:19">
      <c r="A5" s="4">
        <v>4</v>
      </c>
      <c r="B5" s="1" t="s">
        <v>55</v>
      </c>
      <c r="C5" s="1" t="s">
        <v>56</v>
      </c>
      <c r="D5" s="1" t="s">
        <v>57</v>
      </c>
      <c r="E5" s="6">
        <v>40</v>
      </c>
      <c r="F5" s="52"/>
      <c r="G5" s="6">
        <v>40</v>
      </c>
      <c r="H5" s="26"/>
      <c r="I5" s="6"/>
      <c r="J5" s="6" t="s">
        <v>1784</v>
      </c>
      <c r="K5" s="6"/>
      <c r="L5" s="6"/>
      <c r="M5" s="6"/>
      <c r="N5" s="6"/>
      <c r="P5" s="6"/>
      <c r="Q5" s="26"/>
      <c r="R5" s="6"/>
      <c r="S5" s="6"/>
    </row>
    <row r="6" spans="1:19">
      <c r="A6" s="4">
        <v>5</v>
      </c>
      <c r="B6" s="22" t="s">
        <v>59</v>
      </c>
      <c r="C6" s="22" t="s">
        <v>60</v>
      </c>
      <c r="D6" s="22" t="s">
        <v>61</v>
      </c>
      <c r="E6" s="6">
        <v>10</v>
      </c>
      <c r="F6" s="52" t="s">
        <v>1450</v>
      </c>
      <c r="G6" s="6">
        <v>40</v>
      </c>
      <c r="H6" s="26"/>
      <c r="I6" s="6"/>
      <c r="J6" s="6"/>
      <c r="K6" s="6"/>
      <c r="L6" s="6"/>
      <c r="M6" s="6"/>
      <c r="N6" s="6"/>
      <c r="P6" s="6"/>
      <c r="Q6" s="26"/>
      <c r="R6" s="6"/>
      <c r="S6" s="6"/>
    </row>
    <row r="7" spans="1:19">
      <c r="A7" s="4">
        <v>6</v>
      </c>
      <c r="B7" s="22" t="s">
        <v>1451</v>
      </c>
      <c r="F7" s="39" t="s">
        <v>1452</v>
      </c>
      <c r="S7" s="22" t="s">
        <v>1453</v>
      </c>
    </row>
    <row r="8" spans="1:19">
      <c r="A8" s="4">
        <v>7</v>
      </c>
      <c r="B8" s="22" t="str">
        <f>_xlfn.TEXTJOIN(" ",,C8,D8)</f>
        <v>Kyle Snyder</v>
      </c>
      <c r="C8" s="22" t="s">
        <v>71</v>
      </c>
      <c r="D8" s="22" t="s">
        <v>72</v>
      </c>
      <c r="E8" s="6">
        <v>85</v>
      </c>
      <c r="F8" s="39" t="s">
        <v>1454</v>
      </c>
      <c r="G8" s="6">
        <v>40</v>
      </c>
    </row>
    <row r="9" spans="1:19">
      <c r="A9" s="4">
        <v>8</v>
      </c>
      <c r="B9" s="22" t="str">
        <f>_xlfn.TEXTJOIN(" ",,C9,D9)</f>
        <v>Haley Brown</v>
      </c>
      <c r="C9" s="22" t="s">
        <v>75</v>
      </c>
      <c r="D9" s="22" t="s">
        <v>76</v>
      </c>
      <c r="E9" s="22">
        <v>45</v>
      </c>
      <c r="F9" s="39" t="s">
        <v>1455</v>
      </c>
      <c r="G9" s="22">
        <v>40</v>
      </c>
    </row>
    <row r="10" spans="1:19">
      <c r="A10" s="4">
        <v>9</v>
      </c>
      <c r="B10" s="22" t="str">
        <f>_xlfn.TEXTJOIN(" ",,C10,D10)</f>
        <v>Jessica Roussey</v>
      </c>
      <c r="C10" s="22" t="s">
        <v>78</v>
      </c>
      <c r="D10" s="18" t="s">
        <v>79</v>
      </c>
      <c r="E10" s="6">
        <v>70</v>
      </c>
      <c r="F10" s="39" t="s">
        <v>1456</v>
      </c>
      <c r="G10" s="22">
        <v>40</v>
      </c>
    </row>
    <row r="11" spans="1:19">
      <c r="A11" s="4">
        <v>10</v>
      </c>
      <c r="B11" s="22" t="str">
        <f>_xlfn.TEXTJOIN(" ",,C11,D11)</f>
        <v>Avery Everett</v>
      </c>
      <c r="C11" s="20" t="s">
        <v>81</v>
      </c>
      <c r="D11" s="20" t="s">
        <v>82</v>
      </c>
      <c r="E11" s="22">
        <v>65</v>
      </c>
      <c r="F11" s="39"/>
      <c r="G11" s="22">
        <v>40</v>
      </c>
    </row>
    <row r="12" spans="1:19">
      <c r="A12" s="4">
        <v>11</v>
      </c>
      <c r="B12" s="22" t="s">
        <v>86</v>
      </c>
      <c r="C12" s="27" t="s">
        <v>87</v>
      </c>
      <c r="D12" s="22" t="s">
        <v>88</v>
      </c>
      <c r="E12" s="22">
        <v>40</v>
      </c>
      <c r="F12" s="39"/>
      <c r="G12" s="22">
        <v>40</v>
      </c>
    </row>
    <row r="13" spans="1:19">
      <c r="A13" s="4">
        <v>12</v>
      </c>
      <c r="B13" s="27" t="s">
        <v>90</v>
      </c>
      <c r="C13" s="20" t="s">
        <v>91</v>
      </c>
      <c r="D13" s="22" t="s">
        <v>92</v>
      </c>
      <c r="E13" s="22">
        <v>65</v>
      </c>
      <c r="F13" s="39" t="s">
        <v>1457</v>
      </c>
      <c r="G13" s="22">
        <v>40</v>
      </c>
    </row>
    <row r="14" spans="1:19">
      <c r="A14" s="4">
        <v>13</v>
      </c>
      <c r="B14" s="22" t="str">
        <f>_xlfn.TEXTJOIN(" ",,C14,D14)</f>
        <v>Kiarat Vidal</v>
      </c>
      <c r="C14" s="20" t="s">
        <v>280</v>
      </c>
      <c r="D14" s="28" t="s">
        <v>281</v>
      </c>
      <c r="G14" s="22">
        <v>40</v>
      </c>
    </row>
    <row r="15" spans="1:19">
      <c r="A15" s="4">
        <v>14</v>
      </c>
      <c r="B15" s="22" t="s">
        <v>744</v>
      </c>
      <c r="C15" s="22" t="s">
        <v>351</v>
      </c>
      <c r="D15" s="22" t="s">
        <v>352</v>
      </c>
      <c r="E15" s="22">
        <v>40</v>
      </c>
      <c r="G15" s="22">
        <v>40</v>
      </c>
    </row>
    <row r="16" spans="1:19">
      <c r="A16" s="4">
        <v>15</v>
      </c>
      <c r="B16" s="22" t="s">
        <v>1458</v>
      </c>
      <c r="E16" s="22">
        <v>45</v>
      </c>
      <c r="G16" s="22">
        <v>40</v>
      </c>
    </row>
    <row r="17" spans="1:18">
      <c r="A17" s="4">
        <v>16</v>
      </c>
      <c r="B17" s="6" t="s">
        <v>721</v>
      </c>
      <c r="E17" s="22">
        <v>50</v>
      </c>
      <c r="G17" s="22">
        <v>40</v>
      </c>
      <c r="K17" s="22">
        <v>70</v>
      </c>
      <c r="L17" s="22" t="s">
        <v>1663</v>
      </c>
    </row>
    <row r="18" spans="1:18">
      <c r="A18" s="4">
        <v>17</v>
      </c>
      <c r="B18" s="22" t="s">
        <v>723</v>
      </c>
    </row>
    <row r="19" spans="1:18">
      <c r="A19" s="4">
        <v>18</v>
      </c>
      <c r="B19" s="22" t="s">
        <v>1459</v>
      </c>
      <c r="G19" s="22">
        <v>40</v>
      </c>
    </row>
    <row r="20" spans="1:18">
      <c r="A20" s="4">
        <v>19</v>
      </c>
      <c r="B20" s="53" t="s">
        <v>746</v>
      </c>
      <c r="E20" s="22">
        <v>50</v>
      </c>
      <c r="O20" s="22">
        <v>50</v>
      </c>
      <c r="P20" s="22" t="s">
        <v>705</v>
      </c>
      <c r="Q20" s="9">
        <v>43754</v>
      </c>
      <c r="R20" s="22" t="s">
        <v>43</v>
      </c>
    </row>
    <row r="21" spans="1:18">
      <c r="A21" s="4">
        <v>20</v>
      </c>
      <c r="B21" s="22" t="s">
        <v>747</v>
      </c>
      <c r="E21" s="22">
        <v>40</v>
      </c>
      <c r="G21" s="22">
        <v>40</v>
      </c>
    </row>
    <row r="22" spans="1:18">
      <c r="A22" s="4">
        <v>21</v>
      </c>
      <c r="B22" s="53" t="s">
        <v>1460</v>
      </c>
      <c r="E22" s="22">
        <v>65</v>
      </c>
      <c r="G22" s="22">
        <v>40</v>
      </c>
    </row>
    <row r="23" spans="1:18">
      <c r="A23" s="4">
        <v>22</v>
      </c>
      <c r="B23" s="53" t="s">
        <v>1462</v>
      </c>
      <c r="E23" s="22">
        <v>65</v>
      </c>
      <c r="G23" s="22">
        <v>40</v>
      </c>
    </row>
    <row r="24" spans="1:18">
      <c r="A24" s="4">
        <v>23</v>
      </c>
      <c r="B24" s="53" t="str">
        <f>_xlfn.TEXTJOIN(" ",,C24,D24)</f>
        <v>Vadim Tanygin</v>
      </c>
      <c r="C24" s="22" t="s">
        <v>488</v>
      </c>
      <c r="D24" s="22" t="s">
        <v>489</v>
      </c>
      <c r="E24" s="22">
        <v>55</v>
      </c>
      <c r="F24" s="3" t="s">
        <v>1461</v>
      </c>
      <c r="G24" s="36">
        <v>40</v>
      </c>
      <c r="H24" s="3"/>
      <c r="N24" s="4"/>
      <c r="O24" s="9"/>
    </row>
    <row r="25" spans="1:18">
      <c r="A25" s="4">
        <v>24</v>
      </c>
      <c r="B25" s="22" t="str">
        <f>Tracker!B25</f>
        <v>Murray Imani</v>
      </c>
      <c r="G25" s="22">
        <v>40</v>
      </c>
    </row>
    <row r="26" spans="1:18">
      <c r="A26" s="4">
        <v>25</v>
      </c>
      <c r="B26" s="22" t="str">
        <f>Tracker!B26</f>
        <v>Celina Philips</v>
      </c>
      <c r="G26" s="22">
        <v>40</v>
      </c>
    </row>
    <row r="27" spans="1:18">
      <c r="A27" s="4">
        <v>26</v>
      </c>
      <c r="B27" s="53" t="s">
        <v>753</v>
      </c>
      <c r="E27" s="22">
        <v>50</v>
      </c>
      <c r="G27" s="22">
        <v>40</v>
      </c>
    </row>
    <row r="28" spans="1:18">
      <c r="A28" s="4">
        <v>27</v>
      </c>
      <c r="B28" s="53" t="s">
        <v>1609</v>
      </c>
      <c r="G28" s="22">
        <v>40</v>
      </c>
    </row>
    <row r="29" spans="1:18">
      <c r="A29" s="4">
        <v>28</v>
      </c>
      <c r="B29" s="22" t="str">
        <f>Tracker!B29</f>
        <v>Stacy Nelson</v>
      </c>
      <c r="E29" s="22">
        <f>40+15</f>
        <v>55</v>
      </c>
    </row>
    <row r="30" spans="1:18">
      <c r="A30" s="4">
        <v>29</v>
      </c>
      <c r="B30" s="22" t="str">
        <f>Tracker!B30</f>
        <v>Alexa Plisiewicz</v>
      </c>
    </row>
    <row r="31" spans="1:18">
      <c r="A31" s="4">
        <v>30</v>
      </c>
      <c r="B31" s="22" t="str">
        <f>Tracker!B31</f>
        <v>Maria Alvarez</v>
      </c>
      <c r="E31" s="22">
        <v>60</v>
      </c>
      <c r="G31" s="22">
        <v>40</v>
      </c>
    </row>
    <row r="32" spans="1:18" ht="17" customHeight="1">
      <c r="A32" s="4">
        <v>31</v>
      </c>
      <c r="B32" s="22" t="str">
        <f>Tracker!B32</f>
        <v>Sarah Ramey</v>
      </c>
      <c r="E32" s="22">
        <v>65</v>
      </c>
    </row>
    <row r="33" spans="1:7">
      <c r="A33" s="22">
        <v>32</v>
      </c>
      <c r="B33" s="22" t="str">
        <f>Tracker!B33</f>
        <v>Aiden Smith</v>
      </c>
      <c r="E33" s="22">
        <v>40</v>
      </c>
    </row>
    <row r="34" spans="1:7">
      <c r="A34" s="4">
        <v>33</v>
      </c>
      <c r="B34" s="22" t="str">
        <f>Tracker!B34</f>
        <v>Ronan Berger</v>
      </c>
      <c r="E34" s="22">
        <v>40</v>
      </c>
    </row>
    <row r="35" spans="1:7">
      <c r="A35" s="4">
        <v>34</v>
      </c>
      <c r="B35" s="22" t="str">
        <f>Tracker!B35</f>
        <v>Emma Stockham</v>
      </c>
      <c r="G35" s="22">
        <v>40</v>
      </c>
    </row>
    <row r="36" spans="1:7">
      <c r="A36" s="4">
        <v>35</v>
      </c>
      <c r="B36" s="22" t="str">
        <f>Tracker!B36</f>
        <v>Kara Ristey</v>
      </c>
      <c r="E36" s="22">
        <v>40</v>
      </c>
    </row>
    <row r="37" spans="1:7">
      <c r="A37" s="4">
        <v>36</v>
      </c>
      <c r="B37" s="22" t="str">
        <f>Tracker!B37</f>
        <v>Deismy Jimenez</v>
      </c>
      <c r="E37" s="22">
        <v>40</v>
      </c>
    </row>
    <row r="38" spans="1:7">
      <c r="A38" s="22">
        <v>37</v>
      </c>
      <c r="B38" s="22" t="str">
        <f>Tracker!B38</f>
        <v>Alexis Burke</v>
      </c>
    </row>
    <row r="39" spans="1:7">
      <c r="A39" s="22">
        <v>38</v>
      </c>
      <c r="B39" s="22" t="str">
        <f>Tracker!B39</f>
        <v>Morgan Fassero</v>
      </c>
    </row>
    <row r="40" spans="1:7">
      <c r="A40" s="22">
        <f>Tracker!A40</f>
        <v>39</v>
      </c>
      <c r="B40" s="22" t="str">
        <f>Tracker!B40</f>
        <v>Courtney Crable</v>
      </c>
    </row>
    <row r="41" spans="1:7">
      <c r="A41" s="22">
        <f>Tracker!A41</f>
        <v>40</v>
      </c>
      <c r="B41" s="22" t="str">
        <f>Tracker!B41</f>
        <v>Coleman Cush</v>
      </c>
    </row>
  </sheetData>
  <autoFilter ref="A1:S23" xr:uid="{CED6423C-9713-BE43-87FA-4896C4101821}">
    <sortState xmlns:xlrd2="http://schemas.microsoft.com/office/spreadsheetml/2017/richdata2" ref="A2:S36">
      <sortCondition ref="A1:A36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4EC-8987-8B4D-8B27-A153161E074B}">
  <dimension ref="A1:I13"/>
  <sheetViews>
    <sheetView workbookViewId="0">
      <selection activeCell="A8" sqref="A8"/>
    </sheetView>
  </sheetViews>
  <sheetFormatPr baseColWidth="10" defaultColWidth="10.83203125" defaultRowHeight="16"/>
  <cols>
    <col min="1" max="1" width="18.5" style="22" customWidth="1"/>
    <col min="2" max="6" width="10.83203125" style="22"/>
    <col min="7" max="7" width="30.1640625" style="22" customWidth="1"/>
    <col min="8" max="16384" width="10.83203125" style="22"/>
  </cols>
  <sheetData>
    <row r="1" spans="1:9">
      <c r="A1" s="10" t="s">
        <v>1463</v>
      </c>
      <c r="B1" s="10" t="s">
        <v>1464</v>
      </c>
      <c r="C1" s="10" t="s">
        <v>765</v>
      </c>
      <c r="D1" s="10" t="s">
        <v>766</v>
      </c>
      <c r="F1" s="50"/>
      <c r="G1" s="51" t="s">
        <v>1465</v>
      </c>
      <c r="H1" s="50"/>
      <c r="I1" s="49" t="s">
        <v>1466</v>
      </c>
    </row>
    <row r="2" spans="1:9">
      <c r="A2" s="22" t="s">
        <v>70</v>
      </c>
      <c r="B2" s="22" t="s">
        <v>1760</v>
      </c>
      <c r="C2" s="22" t="s">
        <v>1467</v>
      </c>
      <c r="D2" s="22" t="s">
        <v>120</v>
      </c>
      <c r="F2" s="7">
        <v>1</v>
      </c>
      <c r="G2" s="22" t="s">
        <v>1468</v>
      </c>
      <c r="H2" s="7">
        <v>0</v>
      </c>
      <c r="I2" s="48" t="s">
        <v>1469</v>
      </c>
    </row>
    <row r="3" spans="1:9">
      <c r="A3" s="22" t="s">
        <v>38</v>
      </c>
      <c r="B3" s="22" t="s">
        <v>120</v>
      </c>
      <c r="C3" s="22" t="s">
        <v>120</v>
      </c>
      <c r="D3" s="22" t="s">
        <v>1470</v>
      </c>
      <c r="F3" s="7">
        <v>2</v>
      </c>
      <c r="G3" s="22" t="s">
        <v>1471</v>
      </c>
      <c r="H3" s="7">
        <v>1</v>
      </c>
      <c r="I3" s="48" t="s">
        <v>1472</v>
      </c>
    </row>
    <row r="4" spans="1:9">
      <c r="A4" s="22" t="s">
        <v>131</v>
      </c>
      <c r="B4" s="22" t="s">
        <v>1761</v>
      </c>
      <c r="C4" s="22" t="s">
        <v>1762</v>
      </c>
      <c r="D4" s="22" t="s">
        <v>1473</v>
      </c>
      <c r="F4" s="7">
        <v>3</v>
      </c>
      <c r="G4" s="22" t="s">
        <v>1474</v>
      </c>
      <c r="H4" s="7">
        <v>2</v>
      </c>
      <c r="I4" s="48" t="s">
        <v>1475</v>
      </c>
    </row>
    <row r="5" spans="1:9">
      <c r="F5" s="7">
        <v>4</v>
      </c>
      <c r="G5" s="22" t="s">
        <v>1476</v>
      </c>
      <c r="H5" s="7">
        <v>3</v>
      </c>
      <c r="I5" s="48" t="s">
        <v>1477</v>
      </c>
    </row>
    <row r="6" spans="1:9">
      <c r="F6" s="7">
        <v>5</v>
      </c>
      <c r="G6" s="22" t="s">
        <v>1478</v>
      </c>
      <c r="H6" s="7">
        <v>4</v>
      </c>
      <c r="I6" s="48" t="s">
        <v>1479</v>
      </c>
    </row>
    <row r="7" spans="1:9">
      <c r="F7" s="7">
        <v>6</v>
      </c>
      <c r="G7" s="22" t="s">
        <v>1480</v>
      </c>
      <c r="H7" s="13">
        <v>5</v>
      </c>
      <c r="I7" s="47" t="s">
        <v>1481</v>
      </c>
    </row>
    <row r="8" spans="1:9">
      <c r="F8" s="7">
        <v>7</v>
      </c>
      <c r="G8" s="14" t="s">
        <v>1482</v>
      </c>
    </row>
    <row r="9" spans="1:9">
      <c r="F9" s="7">
        <v>8</v>
      </c>
      <c r="G9" s="14" t="s">
        <v>1483</v>
      </c>
    </row>
    <row r="10" spans="1:9">
      <c r="F10" s="7">
        <v>9</v>
      </c>
      <c r="G10" s="14" t="s">
        <v>1484</v>
      </c>
    </row>
    <row r="11" spans="1:9">
      <c r="F11" s="7">
        <v>10</v>
      </c>
      <c r="G11" s="14" t="s">
        <v>1485</v>
      </c>
    </row>
    <row r="12" spans="1:9">
      <c r="A12" s="22" t="s">
        <v>1486</v>
      </c>
      <c r="B12" s="9">
        <f ca="1">TODAY()</f>
        <v>43773</v>
      </c>
      <c r="F12" s="7">
        <v>11</v>
      </c>
      <c r="G12" s="14" t="s">
        <v>1487</v>
      </c>
    </row>
    <row r="13" spans="1:9">
      <c r="F13" s="13">
        <v>12</v>
      </c>
      <c r="G13" s="12" t="s">
        <v>1488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3B5C-D202-2C47-B4AB-A5BBEE4D0EF8}">
  <dimension ref="A1:I51"/>
  <sheetViews>
    <sheetView zoomScale="110" zoomScaleNormal="110" workbookViewId="0">
      <pane ySplit="1" topLeftCell="A2" activePane="bottomLeft" state="frozen"/>
      <selection pane="bottomLeft" activeCell="A41" sqref="A41:I43"/>
    </sheetView>
  </sheetViews>
  <sheetFormatPr baseColWidth="10" defaultColWidth="11" defaultRowHeight="16"/>
  <cols>
    <col min="1" max="1" width="11.5" bestFit="1" customWidth="1"/>
    <col min="2" max="2" width="23" customWidth="1"/>
    <col min="3" max="3" width="14" customWidth="1"/>
    <col min="4" max="5" width="14" style="22" customWidth="1"/>
    <col min="6" max="6" width="14.83203125" bestFit="1" customWidth="1"/>
    <col min="7" max="7" width="16.1640625" customWidth="1"/>
  </cols>
  <sheetData>
    <row r="1" spans="1:9" s="10" customFormat="1">
      <c r="A1" s="10" t="s">
        <v>696</v>
      </c>
      <c r="B1" s="10" t="s">
        <v>700</v>
      </c>
      <c r="C1" s="10" t="s">
        <v>7</v>
      </c>
      <c r="D1" s="10" t="s">
        <v>734</v>
      </c>
      <c r="E1" s="10" t="s">
        <v>1489</v>
      </c>
      <c r="F1" s="10" t="s">
        <v>31</v>
      </c>
      <c r="G1" s="10" t="s">
        <v>1490</v>
      </c>
      <c r="H1" s="10" t="s">
        <v>1491</v>
      </c>
      <c r="I1" s="10" t="s">
        <v>1492</v>
      </c>
    </row>
    <row r="2" spans="1:9">
      <c r="A2" s="22">
        <f>Tracker!A2</f>
        <v>1</v>
      </c>
      <c r="B2" s="9">
        <f>Tracker!O2</f>
        <v>43691</v>
      </c>
      <c r="C2" s="31" t="str">
        <f>Tracker!J2</f>
        <v>SAD</v>
      </c>
      <c r="D2" s="31"/>
      <c r="E2" s="31" t="str">
        <f>Tracker!N2</f>
        <v>N</v>
      </c>
      <c r="F2" s="22">
        <f t="shared" ref="F2:F8" ca="1" si="0">COUNTIF(B2,"&lt;"&amp;TODAY())</f>
        <v>1</v>
      </c>
      <c r="G2" s="22">
        <f ca="1">COUNTIFS(F2,1,Tracker!N2,"Y")</f>
        <v>0</v>
      </c>
      <c r="H2" s="22">
        <f>MONTH(B2)</f>
        <v>8</v>
      </c>
      <c r="I2" s="22">
        <f>YEAR(B2)</f>
        <v>2019</v>
      </c>
    </row>
    <row r="3" spans="1:9">
      <c r="A3" s="22">
        <f>Tracker!A3</f>
        <v>2</v>
      </c>
      <c r="B3" s="9">
        <f>Tracker!O3</f>
        <v>43684</v>
      </c>
      <c r="C3" s="31" t="str">
        <f>Tracker!J3</f>
        <v>SAD</v>
      </c>
      <c r="D3" s="31"/>
      <c r="E3" s="31" t="str">
        <f>Tracker!N3</f>
        <v>N</v>
      </c>
      <c r="F3" s="22">
        <f t="shared" ca="1" si="0"/>
        <v>1</v>
      </c>
      <c r="G3" s="22">
        <f ca="1">COUNTIFS(F3,1,Tracker!N3,"Y")</f>
        <v>0</v>
      </c>
      <c r="H3" s="22">
        <f t="shared" ref="H3:H7" si="1">MONTH(B3)</f>
        <v>8</v>
      </c>
      <c r="I3" s="22">
        <f t="shared" ref="I3:I12" si="2">YEAR(B3)</f>
        <v>2019</v>
      </c>
    </row>
    <row r="4" spans="1:9">
      <c r="A4" s="22">
        <f>Tracker!A4</f>
        <v>3</v>
      </c>
      <c r="B4" s="9">
        <f>Tracker!O4</f>
        <v>43704</v>
      </c>
      <c r="C4" s="31" t="s">
        <v>38</v>
      </c>
      <c r="D4" s="31" t="s">
        <v>736</v>
      </c>
      <c r="E4" s="31" t="str">
        <f>Tracker!N4</f>
        <v>N</v>
      </c>
      <c r="F4" s="22">
        <f t="shared" ca="1" si="0"/>
        <v>1</v>
      </c>
      <c r="G4" s="22">
        <f ca="1">COUNTIFS(F4,1,Tracker!N4,"Y")</f>
        <v>0</v>
      </c>
      <c r="H4" s="22">
        <f t="shared" si="1"/>
        <v>8</v>
      </c>
      <c r="I4" s="22">
        <f t="shared" si="2"/>
        <v>2019</v>
      </c>
    </row>
    <row r="5" spans="1:9">
      <c r="A5" s="22">
        <f>Tracker!A5</f>
        <v>4</v>
      </c>
      <c r="B5" s="9">
        <f>Tracker!O5</f>
        <v>43705</v>
      </c>
      <c r="C5" s="31" t="str">
        <f>Tracker!J5</f>
        <v>SAD</v>
      </c>
      <c r="D5" s="31"/>
      <c r="E5" s="31" t="str">
        <f>Tracker!N5</f>
        <v>N</v>
      </c>
      <c r="F5" s="22">
        <f t="shared" ca="1" si="0"/>
        <v>1</v>
      </c>
      <c r="G5" s="22">
        <f ca="1">COUNTIFS(F5,1,Tracker!N5,"Y")</f>
        <v>0</v>
      </c>
      <c r="H5" s="22">
        <f t="shared" si="1"/>
        <v>8</v>
      </c>
      <c r="I5" s="22">
        <f t="shared" si="2"/>
        <v>2019</v>
      </c>
    </row>
    <row r="6" spans="1:9">
      <c r="A6" s="22">
        <f>Tracker!A6</f>
        <v>5</v>
      </c>
      <c r="B6" s="9">
        <f>Tracker!O6</f>
        <v>43693</v>
      </c>
      <c r="C6" s="31" t="str">
        <f>Tracker!J6</f>
        <v>SAD</v>
      </c>
      <c r="D6" s="31"/>
      <c r="E6" s="31" t="str">
        <f>Tracker!N6</f>
        <v>Y</v>
      </c>
      <c r="F6" s="22">
        <f t="shared" ca="1" si="0"/>
        <v>1</v>
      </c>
      <c r="G6" s="22">
        <f ca="1">COUNTIFS(F6,1,Tracker!N6,"Y")</f>
        <v>1</v>
      </c>
      <c r="H6" s="22">
        <f t="shared" si="1"/>
        <v>8</v>
      </c>
      <c r="I6" s="22">
        <f t="shared" si="2"/>
        <v>2019</v>
      </c>
    </row>
    <row r="7" spans="1:9">
      <c r="A7" s="22">
        <f>Tracker!A7</f>
        <v>6</v>
      </c>
      <c r="B7" s="9">
        <f>Tracker!O7</f>
        <v>43727</v>
      </c>
      <c r="C7" s="31" t="str">
        <f>Tracker!J7</f>
        <v>BPD</v>
      </c>
      <c r="D7" s="31"/>
      <c r="E7" s="31" t="str">
        <f>Tracker!N7</f>
        <v>NA</v>
      </c>
      <c r="F7" s="22">
        <f t="shared" ca="1" si="0"/>
        <v>1</v>
      </c>
      <c r="G7" s="22">
        <f ca="1">COUNTIFS(F7,1,Tracker!N7,"Y")</f>
        <v>0</v>
      </c>
      <c r="H7" s="22">
        <f t="shared" si="1"/>
        <v>9</v>
      </c>
      <c r="I7" s="22">
        <f t="shared" si="2"/>
        <v>2019</v>
      </c>
    </row>
    <row r="8" spans="1:9">
      <c r="A8" s="22">
        <f>Tracker!A8</f>
        <v>7</v>
      </c>
      <c r="B8" s="9">
        <f>Tracker!O8</f>
        <v>43692</v>
      </c>
      <c r="C8" s="31" t="str">
        <f>Tracker!J8</f>
        <v>SAD</v>
      </c>
      <c r="D8" s="31"/>
      <c r="E8" s="31" t="str">
        <f>Tracker!N8</f>
        <v>N</v>
      </c>
      <c r="F8" s="22">
        <f t="shared" ca="1" si="0"/>
        <v>1</v>
      </c>
      <c r="G8" s="22">
        <f ca="1">COUNTIFS(F8,1,Tracker!N8,"Y")</f>
        <v>0</v>
      </c>
      <c r="H8" s="22">
        <f>MONTH(B8)</f>
        <v>8</v>
      </c>
      <c r="I8" s="22">
        <f t="shared" si="2"/>
        <v>2019</v>
      </c>
    </row>
    <row r="9" spans="1:9">
      <c r="A9" s="22">
        <f>Tracker!A9</f>
        <v>8</v>
      </c>
      <c r="B9" s="9">
        <f>Tracker!O9</f>
        <v>43692</v>
      </c>
      <c r="C9" s="31" t="str">
        <f>Tracker!J9</f>
        <v>SAD</v>
      </c>
      <c r="D9" s="31"/>
      <c r="E9" s="31" t="str">
        <f>Tracker!N9</f>
        <v>Y</v>
      </c>
      <c r="F9" s="22">
        <f t="shared" ref="F9" ca="1" si="3">COUNTIF(B9,"&lt;"&amp;TODAY())</f>
        <v>1</v>
      </c>
      <c r="G9" s="22">
        <f ca="1">COUNTIFS(F9,1,Tracker!N9,"Y")</f>
        <v>1</v>
      </c>
      <c r="H9" s="22">
        <f t="shared" ref="H9" si="4">MONTH(B9)</f>
        <v>8</v>
      </c>
      <c r="I9" s="22">
        <f t="shared" si="2"/>
        <v>2019</v>
      </c>
    </row>
    <row r="10" spans="1:9">
      <c r="A10" s="22">
        <f>Tracker!A10</f>
        <v>9</v>
      </c>
      <c r="B10" s="9">
        <f>Tracker!O10</f>
        <v>43699</v>
      </c>
      <c r="C10" s="31" t="str">
        <f>Tracker!J10</f>
        <v>SAD</v>
      </c>
      <c r="D10" s="31"/>
      <c r="E10" s="31" t="str">
        <f>Tracker!N10</f>
        <v>N</v>
      </c>
      <c r="F10" s="22">
        <f ca="1">COUNTIF(B10,"&lt;"&amp;TODAY())</f>
        <v>1</v>
      </c>
      <c r="G10" s="22">
        <f ca="1">COUNTIFS(F10,1,Tracker!N10,"Y")</f>
        <v>0</v>
      </c>
      <c r="H10" s="22">
        <f>MONTH(B10)</f>
        <v>8</v>
      </c>
      <c r="I10" s="22">
        <f t="shared" si="2"/>
        <v>2019</v>
      </c>
    </row>
    <row r="11" spans="1:9">
      <c r="A11" s="22">
        <f>Tracker!A11</f>
        <v>10</v>
      </c>
      <c r="B11" s="9">
        <f>Tracker!O11</f>
        <v>43696</v>
      </c>
      <c r="C11" s="31" t="str">
        <f>Tracker!J11</f>
        <v>BPD</v>
      </c>
      <c r="D11" s="31"/>
      <c r="E11" s="31" t="str">
        <f>Tracker!N11</f>
        <v>N</v>
      </c>
      <c r="F11" s="22">
        <f t="shared" ref="F11" ca="1" si="5">COUNTIF(B11,"&lt;"&amp;TODAY())</f>
        <v>1</v>
      </c>
      <c r="G11" s="22">
        <f ca="1">COUNTIFS(F11,1,Tracker!N11,"Y")</f>
        <v>0</v>
      </c>
      <c r="H11" s="22">
        <f t="shared" ref="H11" si="6">MONTH(B11)</f>
        <v>8</v>
      </c>
      <c r="I11" s="22">
        <f t="shared" si="2"/>
        <v>2019</v>
      </c>
    </row>
    <row r="12" spans="1:9">
      <c r="A12" s="22">
        <f>Tracker!A12</f>
        <v>11</v>
      </c>
      <c r="B12" s="9">
        <f>Tracker!O12</f>
        <v>43706</v>
      </c>
      <c r="C12" s="31" t="str">
        <f>Tracker!J12</f>
        <v>SAD</v>
      </c>
      <c r="D12" s="31"/>
      <c r="E12" s="31" t="str">
        <f>Tracker!N12</f>
        <v>N</v>
      </c>
      <c r="F12" s="22">
        <f ca="1">COUNTIF(B12,"&lt;"&amp;TODAY())</f>
        <v>1</v>
      </c>
      <c r="G12" s="22">
        <f ca="1">COUNTIFS(F12,1,Tracker!N12,"Y")</f>
        <v>0</v>
      </c>
      <c r="H12" s="22">
        <f>MONTH(B12)</f>
        <v>8</v>
      </c>
      <c r="I12" s="22">
        <f t="shared" si="2"/>
        <v>2019</v>
      </c>
    </row>
    <row r="13" spans="1:9">
      <c r="A13" s="22">
        <f>Tracker!A13</f>
        <v>12</v>
      </c>
      <c r="B13" s="9">
        <f>Tracker!O13</f>
        <v>43704</v>
      </c>
      <c r="C13" s="31" t="str">
        <f>Tracker!J13</f>
        <v>SAD</v>
      </c>
      <c r="D13" s="31"/>
      <c r="E13" s="31" t="str">
        <f>Tracker!N13</f>
        <v>N</v>
      </c>
      <c r="F13" s="22">
        <f t="shared" ref="F13:F16" ca="1" si="7">COUNTIF(B13,"&lt;"&amp;TODAY())</f>
        <v>1</v>
      </c>
      <c r="G13" s="22">
        <f ca="1">COUNTIFS(F13,1,Tracker!N13,"Y")</f>
        <v>0</v>
      </c>
      <c r="H13" s="22">
        <f t="shared" ref="H13:H16" si="8">MONTH(B13)</f>
        <v>8</v>
      </c>
      <c r="I13" s="22">
        <f t="shared" ref="I13:I16" si="9">YEAR(B13)</f>
        <v>2019</v>
      </c>
    </row>
    <row r="14" spans="1:9">
      <c r="A14" s="22">
        <f>Tracker!A14</f>
        <v>13</v>
      </c>
      <c r="B14" s="9">
        <v>43720</v>
      </c>
      <c r="C14" s="31" t="str">
        <f>Tracker!J14</f>
        <v>SAD</v>
      </c>
      <c r="D14" s="31"/>
      <c r="E14" s="31" t="str">
        <f>Tracker!N14</f>
        <v>N</v>
      </c>
      <c r="F14" s="22">
        <f t="shared" ca="1" si="7"/>
        <v>1</v>
      </c>
      <c r="G14" s="22">
        <f ca="1">COUNTIFS(F14,1,Tracker!N14,"Y")</f>
        <v>0</v>
      </c>
      <c r="H14" s="22">
        <f t="shared" si="8"/>
        <v>9</v>
      </c>
      <c r="I14" s="22">
        <f t="shared" si="9"/>
        <v>2019</v>
      </c>
    </row>
    <row r="15" spans="1:9">
      <c r="A15" s="22">
        <f>Tracker!A15</f>
        <v>14</v>
      </c>
      <c r="B15" s="9">
        <f>Tracker!O15</f>
        <v>43727</v>
      </c>
      <c r="C15" s="31" t="str">
        <f>Tracker!J15</f>
        <v>SAD</v>
      </c>
      <c r="D15" s="31"/>
      <c r="E15" s="31" t="str">
        <f>Tracker!N15</f>
        <v>NA</v>
      </c>
      <c r="F15" s="22">
        <f t="shared" ca="1" si="7"/>
        <v>1</v>
      </c>
      <c r="G15" s="22">
        <f ca="1">COUNTIFS(F15,1,Tracker!N15,"Y")</f>
        <v>0</v>
      </c>
      <c r="H15" s="22">
        <f t="shared" si="8"/>
        <v>9</v>
      </c>
      <c r="I15" s="22">
        <f t="shared" si="9"/>
        <v>2019</v>
      </c>
    </row>
    <row r="16" spans="1:9">
      <c r="A16" s="22">
        <f>Tracker!A16</f>
        <v>15</v>
      </c>
      <c r="B16" s="9">
        <f>Tracker!O16</f>
        <v>43717</v>
      </c>
      <c r="C16" s="31" t="str">
        <f>Tracker!J16</f>
        <v>BPD</v>
      </c>
      <c r="D16" s="31"/>
      <c r="E16" s="31" t="str">
        <f>Tracker!N16</f>
        <v>N</v>
      </c>
      <c r="F16" s="22">
        <f t="shared" ca="1" si="7"/>
        <v>1</v>
      </c>
      <c r="G16" s="22">
        <f ca="1">COUNTIFS(F16,1,Tracker!N16,"Y")</f>
        <v>0</v>
      </c>
      <c r="H16" s="22">
        <f t="shared" si="8"/>
        <v>9</v>
      </c>
      <c r="I16" s="22">
        <f t="shared" si="9"/>
        <v>2019</v>
      </c>
    </row>
    <row r="17" spans="1:9" s="22" customFormat="1">
      <c r="A17" s="22">
        <f>Tracker!A17</f>
        <v>16</v>
      </c>
      <c r="B17" s="9">
        <f>Tracker!O17</f>
        <v>43724</v>
      </c>
      <c r="C17" s="31" t="str">
        <f>Tracker!J17</f>
        <v>BPD</v>
      </c>
      <c r="D17" s="31"/>
      <c r="E17" s="9" t="str">
        <f>Tracker!N17</f>
        <v>Y</v>
      </c>
      <c r="F17" s="22">
        <f t="shared" ref="F17:F18" ca="1" si="10">COUNTIF(B17,"&lt;"&amp;TODAY())</f>
        <v>1</v>
      </c>
      <c r="G17" s="22">
        <f ca="1">COUNTIFS(F17,1,Tracker!N17,"Y")</f>
        <v>1</v>
      </c>
      <c r="H17" s="22">
        <f t="shared" ref="H17:H18" si="11">MONTH(B17)</f>
        <v>9</v>
      </c>
      <c r="I17" s="22">
        <f t="shared" ref="I17:I18" si="12">YEAR(B17)</f>
        <v>2019</v>
      </c>
    </row>
    <row r="18" spans="1:9" s="22" customFormat="1">
      <c r="A18" s="22">
        <f>Tracker!A18</f>
        <v>17</v>
      </c>
      <c r="B18" s="9">
        <f>Tracker!O18</f>
        <v>43719</v>
      </c>
      <c r="C18" s="31" t="str">
        <f>Tracker!J18</f>
        <v>BPD</v>
      </c>
      <c r="D18" s="31"/>
      <c r="E18" s="31" t="str">
        <f>Tracker!N18</f>
        <v>NA</v>
      </c>
      <c r="F18" s="22">
        <f t="shared" ca="1" si="10"/>
        <v>1</v>
      </c>
      <c r="G18" s="22">
        <f ca="1">COUNTIFS(F18,1,Tracker!N18,"Y")</f>
        <v>0</v>
      </c>
      <c r="H18" s="22">
        <f t="shared" si="11"/>
        <v>9</v>
      </c>
      <c r="I18" s="22">
        <f t="shared" si="12"/>
        <v>2019</v>
      </c>
    </row>
    <row r="19" spans="1:9" s="22" customFormat="1">
      <c r="A19" s="22">
        <f>Tracker!A19</f>
        <v>18</v>
      </c>
      <c r="B19" s="9">
        <f>Tracker!O19</f>
        <v>43727</v>
      </c>
      <c r="C19" s="31" t="str">
        <f>Tracker!J19</f>
        <v>SAD</v>
      </c>
      <c r="D19" s="31"/>
      <c r="E19" s="31" t="str">
        <f>Tracker!N19</f>
        <v>Y</v>
      </c>
      <c r="F19" s="22">
        <f t="shared" ref="F19" ca="1" si="13">COUNTIF(B19,"&lt;"&amp;TODAY())</f>
        <v>1</v>
      </c>
      <c r="G19" s="22">
        <f ca="1">COUNTIFS(F19,1,Tracker!N19,"Y")</f>
        <v>1</v>
      </c>
      <c r="H19" s="22">
        <f t="shared" ref="H19" si="14">MONTH(B19)</f>
        <v>9</v>
      </c>
      <c r="I19" s="22">
        <f t="shared" ref="I19" si="15">YEAR(B19)</f>
        <v>2019</v>
      </c>
    </row>
    <row r="20" spans="1:9" s="22" customFormat="1">
      <c r="A20" s="22">
        <f>Tracker!A20</f>
        <v>19</v>
      </c>
      <c r="B20" s="9">
        <f>Tracker!O20</f>
        <v>43720</v>
      </c>
      <c r="C20" s="31" t="str">
        <f>Tracker!J20</f>
        <v>BPD</v>
      </c>
      <c r="D20" s="31" t="s">
        <v>736</v>
      </c>
      <c r="E20" s="31" t="str">
        <f>Tracker!N20</f>
        <v>N</v>
      </c>
      <c r="F20" s="22">
        <f t="shared" ref="F20:F21" ca="1" si="16">COUNTIF(B20,"&lt;"&amp;TODAY())</f>
        <v>1</v>
      </c>
      <c r="G20" s="22">
        <f ca="1">COUNTIFS(F20,1,Tracker!N20,"Y")</f>
        <v>0</v>
      </c>
      <c r="H20" s="22">
        <f t="shared" ref="H20:H21" si="17">MONTH(B20)</f>
        <v>9</v>
      </c>
      <c r="I20" s="22">
        <f t="shared" ref="I20:I21" si="18">YEAR(B20)</f>
        <v>2019</v>
      </c>
    </row>
    <row r="21" spans="1:9" s="22" customFormat="1">
      <c r="A21" s="22">
        <f>Tracker!A21</f>
        <v>20</v>
      </c>
      <c r="B21" s="9">
        <f>Tracker!O21</f>
        <v>43728</v>
      </c>
      <c r="C21" s="31" t="str">
        <f>Tracker!J21</f>
        <v>HC</v>
      </c>
      <c r="D21" s="9"/>
      <c r="E21" s="31" t="str">
        <f>Tracker!N21</f>
        <v>Y</v>
      </c>
      <c r="F21" s="22">
        <f t="shared" ca="1" si="16"/>
        <v>1</v>
      </c>
      <c r="G21" s="22">
        <f ca="1">COUNTIFS(F21,1,Tracker!N21,"Y")</f>
        <v>1</v>
      </c>
      <c r="H21" s="22">
        <f t="shared" si="17"/>
        <v>9</v>
      </c>
      <c r="I21" s="22">
        <f t="shared" si="18"/>
        <v>2019</v>
      </c>
    </row>
    <row r="22" spans="1:9" s="22" customFormat="1">
      <c r="A22" s="22">
        <f>Tracker!A22</f>
        <v>21</v>
      </c>
      <c r="B22" s="9">
        <f>Tracker!O22</f>
        <v>43732</v>
      </c>
      <c r="C22" s="31" t="str">
        <f>Tracker!J22</f>
        <v>BPD</v>
      </c>
      <c r="D22" s="9"/>
      <c r="E22" s="31" t="str">
        <f>Tracker!N22</f>
        <v>Y</v>
      </c>
      <c r="F22" s="22">
        <f t="shared" ref="F22:F27" ca="1" si="19">COUNTIF(B22,"&lt;"&amp;TODAY())</f>
        <v>1</v>
      </c>
      <c r="G22" s="22">
        <f ca="1">COUNTIFS(F22,1,Tracker!N22,"Y")</f>
        <v>1</v>
      </c>
      <c r="H22" s="22">
        <f t="shared" ref="H22:H27" si="20">MONTH(B22)</f>
        <v>9</v>
      </c>
      <c r="I22" s="22">
        <f t="shared" ref="I22:I27" si="21">YEAR(B22)</f>
        <v>2019</v>
      </c>
    </row>
    <row r="23" spans="1:9" s="22" customFormat="1">
      <c r="A23" s="22">
        <f>Tracker!A23</f>
        <v>22</v>
      </c>
      <c r="B23" s="9">
        <f>Tracker!O23</f>
        <v>43732</v>
      </c>
      <c r="C23" s="31" t="str">
        <f>Tracker!J23</f>
        <v>Ineligible</v>
      </c>
      <c r="D23" s="9"/>
      <c r="E23" s="31" t="str">
        <f>Tracker!N23</f>
        <v>N</v>
      </c>
      <c r="F23" s="22">
        <f t="shared" ca="1" si="19"/>
        <v>1</v>
      </c>
      <c r="G23" s="22">
        <f ca="1">COUNTIFS(F23,1,Tracker!N23,"Y")</f>
        <v>0</v>
      </c>
      <c r="H23" s="22">
        <f t="shared" si="20"/>
        <v>9</v>
      </c>
      <c r="I23" s="22">
        <f t="shared" si="21"/>
        <v>2019</v>
      </c>
    </row>
    <row r="24" spans="1:9">
      <c r="A24" s="22">
        <f>Tracker!A24</f>
        <v>23</v>
      </c>
      <c r="B24" s="9">
        <f>Tracker!O24</f>
        <v>43733</v>
      </c>
      <c r="C24" s="31" t="str">
        <f>Tracker!J24</f>
        <v>SAD</v>
      </c>
      <c r="D24" s="9"/>
      <c r="E24" s="31" t="str">
        <f>Tracker!N24</f>
        <v>N</v>
      </c>
      <c r="F24" s="22">
        <f t="shared" ca="1" si="19"/>
        <v>1</v>
      </c>
      <c r="G24" s="22">
        <f ca="1">COUNTIFS(F24,1,Tracker!N24,"Y")</f>
        <v>0</v>
      </c>
      <c r="H24" s="22">
        <f t="shared" si="20"/>
        <v>9</v>
      </c>
      <c r="I24" s="22">
        <f t="shared" si="21"/>
        <v>2019</v>
      </c>
    </row>
    <row r="25" spans="1:9" s="22" customFormat="1">
      <c r="A25" s="22">
        <f>Tracker!A25</f>
        <v>24</v>
      </c>
      <c r="B25" s="9">
        <f>Tracker!O25</f>
        <v>43738</v>
      </c>
      <c r="C25" s="31" t="str">
        <f>Tracker!J25</f>
        <v>BPD</v>
      </c>
      <c r="D25" s="9"/>
      <c r="E25" s="31" t="str">
        <f>Tracker!N25</f>
        <v>N</v>
      </c>
      <c r="F25" s="22">
        <f t="shared" ca="1" si="19"/>
        <v>1</v>
      </c>
      <c r="G25" s="22">
        <f ca="1">COUNTIFS(F25,1,Tracker!N25,"Y")</f>
        <v>0</v>
      </c>
      <c r="H25" s="22">
        <f t="shared" si="20"/>
        <v>9</v>
      </c>
      <c r="I25" s="22">
        <f t="shared" si="21"/>
        <v>2019</v>
      </c>
    </row>
    <row r="26" spans="1:9" s="22" customFormat="1">
      <c r="A26" s="22">
        <f>Tracker!A26</f>
        <v>25</v>
      </c>
      <c r="B26" s="9">
        <f>Tracker!O26</f>
        <v>43739</v>
      </c>
      <c r="C26" s="31" t="str">
        <f>Tracker!J26</f>
        <v>BPD</v>
      </c>
      <c r="D26" s="9"/>
      <c r="E26" s="31" t="str">
        <f>Tracker!N26</f>
        <v>Y</v>
      </c>
      <c r="F26" s="22">
        <f t="shared" ca="1" si="19"/>
        <v>1</v>
      </c>
      <c r="G26" s="22">
        <f ca="1">COUNTIFS(F26,1,Tracker!N26,"Y")</f>
        <v>1</v>
      </c>
      <c r="H26" s="22">
        <f t="shared" si="20"/>
        <v>10</v>
      </c>
      <c r="I26" s="22">
        <f t="shared" si="21"/>
        <v>2019</v>
      </c>
    </row>
    <row r="27" spans="1:9" s="22" customFormat="1">
      <c r="A27" s="22">
        <f>Tracker!A27</f>
        <v>26</v>
      </c>
      <c r="B27" s="9">
        <f>Tracker!O27</f>
        <v>43740</v>
      </c>
      <c r="C27" s="31" t="str">
        <f>Tracker!J27</f>
        <v>SAD</v>
      </c>
      <c r="D27" s="9"/>
      <c r="E27" s="31" t="str">
        <f>Tracker!N27</f>
        <v>Y</v>
      </c>
      <c r="F27" s="22">
        <f t="shared" ca="1" si="19"/>
        <v>1</v>
      </c>
      <c r="G27" s="22">
        <f ca="1">COUNTIFS(F27,1,Tracker!N27,"Y")</f>
        <v>1</v>
      </c>
      <c r="H27" s="22">
        <f t="shared" si="20"/>
        <v>10</v>
      </c>
      <c r="I27" s="22">
        <f t="shared" si="21"/>
        <v>2019</v>
      </c>
    </row>
    <row r="28" spans="1:9" s="22" customFormat="1">
      <c r="A28" s="22">
        <f>Tracker!A28</f>
        <v>27</v>
      </c>
      <c r="B28" s="9">
        <f>Tracker!O28</f>
        <v>43742</v>
      </c>
      <c r="C28" s="31" t="str">
        <f>Tracker!J28</f>
        <v>BPD</v>
      </c>
      <c r="D28" s="9"/>
      <c r="E28" s="31" t="str">
        <f>Tracker!N28</f>
        <v>Y</v>
      </c>
      <c r="F28" s="22">
        <f t="shared" ref="F28:F33" ca="1" si="22">COUNTIF(B28,"&lt;"&amp;TODAY())</f>
        <v>1</v>
      </c>
      <c r="G28" s="22">
        <f ca="1">COUNTIFS(F28,1,Tracker!N28,"Y")</f>
        <v>1</v>
      </c>
      <c r="H28" s="22">
        <f t="shared" ref="H28:H33" si="23">MONTH(B28)</f>
        <v>10</v>
      </c>
      <c r="I28" s="22">
        <f t="shared" ref="I28:I33" si="24">YEAR(B28)</f>
        <v>2019</v>
      </c>
    </row>
    <row r="29" spans="1:9" s="22" customFormat="1">
      <c r="A29" s="22">
        <f>Tracker!A29</f>
        <v>28</v>
      </c>
      <c r="B29" s="9">
        <f>Tracker!O29</f>
        <v>43749</v>
      </c>
      <c r="C29" s="31" t="str">
        <f>Tracker!J29</f>
        <v>SAD</v>
      </c>
      <c r="D29" s="9"/>
      <c r="E29" s="31" t="str">
        <f>Tracker!N29</f>
        <v>N</v>
      </c>
      <c r="F29" s="22">
        <f t="shared" ca="1" si="22"/>
        <v>1</v>
      </c>
      <c r="G29" s="22">
        <f ca="1">COUNTIFS(F29,1,Tracker!N29,"Y")</f>
        <v>0</v>
      </c>
      <c r="H29" s="22">
        <f t="shared" si="23"/>
        <v>10</v>
      </c>
      <c r="I29" s="22">
        <f t="shared" si="24"/>
        <v>2019</v>
      </c>
    </row>
    <row r="30" spans="1:9" s="22" customFormat="1">
      <c r="A30" s="22">
        <f>Tracker!A30</f>
        <v>29</v>
      </c>
      <c r="B30" s="9">
        <f>Tracker!O30</f>
        <v>43749</v>
      </c>
      <c r="C30" s="31" t="str">
        <f>Tracker!J30</f>
        <v>BPD</v>
      </c>
      <c r="D30" s="9"/>
      <c r="E30" s="31" t="str">
        <f>Tracker!N30</f>
        <v>NA</v>
      </c>
      <c r="F30" s="22">
        <f t="shared" ca="1" si="22"/>
        <v>1</v>
      </c>
      <c r="G30" s="22">
        <f ca="1">COUNTIFS(F30,1,Tracker!N30,"Y")</f>
        <v>0</v>
      </c>
      <c r="H30" s="22">
        <f t="shared" si="23"/>
        <v>10</v>
      </c>
      <c r="I30" s="22">
        <f t="shared" si="24"/>
        <v>2019</v>
      </c>
    </row>
    <row r="31" spans="1:9" s="22" customFormat="1">
      <c r="A31" s="22">
        <f>Tracker!A31</f>
        <v>30</v>
      </c>
      <c r="B31" s="9">
        <f>Tracker!O31</f>
        <v>43753</v>
      </c>
      <c r="C31" s="31" t="str">
        <f>Tracker!J31</f>
        <v>BPD</v>
      </c>
      <c r="D31" s="9"/>
      <c r="E31" s="31" t="str">
        <f>Tracker!N31</f>
        <v>N</v>
      </c>
      <c r="F31" s="22">
        <f t="shared" ca="1" si="22"/>
        <v>1</v>
      </c>
      <c r="G31" s="22">
        <f ca="1">COUNTIFS(F31,1,Tracker!N31,"Y")</f>
        <v>0</v>
      </c>
      <c r="H31" s="22">
        <f t="shared" si="23"/>
        <v>10</v>
      </c>
      <c r="I31" s="22">
        <f t="shared" si="24"/>
        <v>2019</v>
      </c>
    </row>
    <row r="32" spans="1:9" s="22" customFormat="1" ht="17" customHeight="1">
      <c r="A32" s="22">
        <f>Tracker!A32</f>
        <v>31</v>
      </c>
      <c r="B32" s="9">
        <f>Tracker!O32</f>
        <v>43754</v>
      </c>
      <c r="C32" s="31" t="str">
        <f>Tracker!J32</f>
        <v>BPD</v>
      </c>
      <c r="D32" s="9"/>
      <c r="E32" s="31" t="str">
        <f>Tracker!N32</f>
        <v>N</v>
      </c>
      <c r="F32" s="22">
        <f t="shared" ca="1" si="22"/>
        <v>1</v>
      </c>
      <c r="G32" s="22">
        <f ca="1">COUNTIFS(F32,1,Tracker!N32,"Y")</f>
        <v>0</v>
      </c>
      <c r="H32" s="22">
        <f t="shared" si="23"/>
        <v>10</v>
      </c>
      <c r="I32" s="22">
        <f t="shared" si="24"/>
        <v>2019</v>
      </c>
    </row>
    <row r="33" spans="1:9" s="22" customFormat="1">
      <c r="A33" s="22">
        <f>Tracker!A33</f>
        <v>32</v>
      </c>
      <c r="B33" s="9">
        <f>Tracker!O33</f>
        <v>43752</v>
      </c>
      <c r="C33" s="31" t="str">
        <f>Tracker!J33</f>
        <v>SAD</v>
      </c>
      <c r="D33" s="9"/>
      <c r="E33" s="31" t="str">
        <f>Tracker!N33</f>
        <v>N</v>
      </c>
      <c r="F33" s="22">
        <f t="shared" ca="1" si="22"/>
        <v>1</v>
      </c>
      <c r="G33" s="22">
        <f ca="1">COUNTIFS(F33,1,Tracker!N33,"Y")</f>
        <v>0</v>
      </c>
      <c r="H33" s="22">
        <f t="shared" si="23"/>
        <v>10</v>
      </c>
      <c r="I33" s="22">
        <f t="shared" si="24"/>
        <v>2019</v>
      </c>
    </row>
    <row r="34" spans="1:9" s="22" customFormat="1">
      <c r="A34" s="22">
        <f>Tracker!A34</f>
        <v>33</v>
      </c>
      <c r="B34" s="9">
        <f>Tracker!O34</f>
        <v>43761</v>
      </c>
      <c r="C34" s="31" t="str">
        <f>Tracker!J34</f>
        <v>SAD</v>
      </c>
      <c r="D34" s="9"/>
      <c r="E34" s="31" t="str">
        <f>Tracker!N34</f>
        <v>N</v>
      </c>
      <c r="F34" s="22">
        <f t="shared" ref="F34:F35" ca="1" si="25">COUNTIF(B34,"&lt;"&amp;TODAY())</f>
        <v>1</v>
      </c>
      <c r="G34" s="22">
        <f ca="1">COUNTIFS(F34,1,Tracker!N34,"Y")</f>
        <v>0</v>
      </c>
      <c r="H34" s="22">
        <f t="shared" ref="H34:H35" si="26">MONTH(B34)</f>
        <v>10</v>
      </c>
      <c r="I34" s="22">
        <f t="shared" ref="I34:I35" si="27">YEAR(B34)</f>
        <v>2019</v>
      </c>
    </row>
    <row r="35" spans="1:9" s="22" customFormat="1">
      <c r="A35" s="22">
        <f>Tracker!A35</f>
        <v>34</v>
      </c>
      <c r="B35" s="9">
        <f>Tracker!O35</f>
        <v>43754</v>
      </c>
      <c r="C35" s="31" t="str">
        <f>Tracker!J35</f>
        <v>SAD</v>
      </c>
      <c r="D35" s="9"/>
      <c r="E35" s="31" t="str">
        <f>Tracker!N35</f>
        <v>Y</v>
      </c>
      <c r="F35" s="22">
        <f t="shared" ca="1" si="25"/>
        <v>1</v>
      </c>
      <c r="G35" s="22">
        <f ca="1">COUNTIFS(F35,1,Tracker!N35,"Y")</f>
        <v>1</v>
      </c>
      <c r="H35" s="22">
        <f t="shared" si="26"/>
        <v>10</v>
      </c>
      <c r="I35" s="22">
        <f t="shared" si="27"/>
        <v>2019</v>
      </c>
    </row>
    <row r="36" spans="1:9" s="22" customFormat="1">
      <c r="A36" s="22">
        <f>Tracker!A36</f>
        <v>35</v>
      </c>
      <c r="B36" s="9">
        <f>Tracker!O36</f>
        <v>43760</v>
      </c>
      <c r="C36" s="31" t="str">
        <f>Tracker!J36</f>
        <v>HC</v>
      </c>
      <c r="D36" s="9"/>
      <c r="E36" s="31" t="str">
        <f>Tracker!N36</f>
        <v>Y</v>
      </c>
      <c r="F36" s="22">
        <f t="shared" ref="F36" ca="1" si="28">COUNTIF(B36,"&lt;"&amp;TODAY())</f>
        <v>1</v>
      </c>
      <c r="G36" s="22">
        <f ca="1">COUNTIFS(F36,1,Tracker!N36,"Y")</f>
        <v>1</v>
      </c>
      <c r="H36" s="22">
        <f t="shared" ref="H36" si="29">MONTH(B36)</f>
        <v>10</v>
      </c>
      <c r="I36" s="22">
        <f t="shared" ref="I36" si="30">YEAR(B36)</f>
        <v>2019</v>
      </c>
    </row>
    <row r="37" spans="1:9" s="22" customFormat="1">
      <c r="A37" s="22">
        <f>Tracker!A37</f>
        <v>36</v>
      </c>
      <c r="B37" s="9">
        <f>Tracker!O37</f>
        <v>43762</v>
      </c>
      <c r="C37" s="31" t="str">
        <f>Tracker!J37</f>
        <v>SAD</v>
      </c>
      <c r="D37" s="9"/>
      <c r="E37" s="31" t="str">
        <f>Tracker!N37</f>
        <v>Y</v>
      </c>
      <c r="F37" s="22">
        <f ca="1">COUNTIF(B37,"&lt;"&amp;TODAY())</f>
        <v>1</v>
      </c>
      <c r="G37" s="22">
        <f ca="1">COUNTIFS(F37,1,Tracker!N37,"Y")</f>
        <v>1</v>
      </c>
      <c r="H37" s="22">
        <f>MONTH(B37)</f>
        <v>10</v>
      </c>
      <c r="I37" s="22">
        <f>YEAR(B37)</f>
        <v>2019</v>
      </c>
    </row>
    <row r="38" spans="1:9" s="22" customFormat="1">
      <c r="A38" s="22">
        <f>Tracker!A38</f>
        <v>37</v>
      </c>
      <c r="B38" s="9">
        <f>Tracker!O38</f>
        <v>43762</v>
      </c>
      <c r="C38" s="31" t="str">
        <f>Tracker!J38</f>
        <v>BPD</v>
      </c>
      <c r="D38" s="9"/>
      <c r="E38" s="31" t="str">
        <f>Tracker!N38</f>
        <v>NA</v>
      </c>
      <c r="F38" s="22">
        <f t="shared" ref="F38:F41" ca="1" si="31">COUNTIF(B38,"&lt;"&amp;TODAY())</f>
        <v>1</v>
      </c>
      <c r="G38" s="22">
        <f ca="1">COUNTIFS(F38,1,Tracker!N38,"Y")</f>
        <v>0</v>
      </c>
      <c r="H38" s="22">
        <f t="shared" ref="H38:H41" si="32">MONTH(B38)</f>
        <v>10</v>
      </c>
      <c r="I38" s="22">
        <f t="shared" ref="I38:I41" si="33">YEAR(B38)</f>
        <v>2019</v>
      </c>
    </row>
    <row r="39" spans="1:9" s="22" customFormat="1">
      <c r="A39" s="22">
        <f>Tracker!A39</f>
        <v>38</v>
      </c>
      <c r="B39" s="9">
        <f>Tracker!O39</f>
        <v>43768</v>
      </c>
      <c r="C39" s="31" t="str">
        <f>Tracker!J39</f>
        <v>HC</v>
      </c>
      <c r="D39" s="9"/>
      <c r="E39" s="31" t="str">
        <f>Tracker!N39</f>
        <v>NA</v>
      </c>
      <c r="F39" s="22">
        <f t="shared" ca="1" si="31"/>
        <v>1</v>
      </c>
      <c r="G39" s="22">
        <f ca="1">COUNTIFS(F39,1,Tracker!N39,"Y")</f>
        <v>0</v>
      </c>
      <c r="H39" s="22">
        <f t="shared" si="32"/>
        <v>10</v>
      </c>
      <c r="I39" s="22">
        <f t="shared" si="33"/>
        <v>2019</v>
      </c>
    </row>
    <row r="40" spans="1:9" s="22" customFormat="1">
      <c r="A40" s="22">
        <f>Tracker!A40</f>
        <v>39</v>
      </c>
      <c r="B40" s="9">
        <f>Tracker!O40</f>
        <v>43766</v>
      </c>
      <c r="C40" s="31" t="str">
        <f>Tracker!J40</f>
        <v>SAD</v>
      </c>
      <c r="D40" s="9"/>
      <c r="E40" s="31" t="str">
        <f>Tracker!N40</f>
        <v>Y</v>
      </c>
      <c r="F40" s="22">
        <f t="shared" ca="1" si="31"/>
        <v>1</v>
      </c>
      <c r="G40" s="22">
        <f ca="1">COUNTIFS(F40,1,Tracker!N40,"Y")</f>
        <v>1</v>
      </c>
      <c r="H40" s="22">
        <f t="shared" si="32"/>
        <v>10</v>
      </c>
      <c r="I40" s="22">
        <f t="shared" si="33"/>
        <v>2019</v>
      </c>
    </row>
    <row r="41" spans="1:9" s="22" customFormat="1">
      <c r="A41" s="22">
        <f>Tracker!A41</f>
        <v>40</v>
      </c>
      <c r="B41" s="9">
        <f>Tracker!O41</f>
        <v>43776</v>
      </c>
      <c r="C41" s="31" t="str">
        <f>Tracker!J41</f>
        <v>HC</v>
      </c>
      <c r="E41" s="31" t="str">
        <f>Tracker!N41</f>
        <v>NA</v>
      </c>
      <c r="F41" s="22">
        <f t="shared" ca="1" si="31"/>
        <v>0</v>
      </c>
      <c r="G41" s="22">
        <f ca="1">COUNTIFS(F41,1,Tracker!N41,"Y")</f>
        <v>0</v>
      </c>
      <c r="H41" s="22">
        <f t="shared" si="32"/>
        <v>11</v>
      </c>
      <c r="I41" s="22">
        <f t="shared" si="33"/>
        <v>2019</v>
      </c>
    </row>
    <row r="42" spans="1:9" s="22" customFormat="1">
      <c r="A42" s="22">
        <f>Tracker!A42</f>
        <v>41</v>
      </c>
      <c r="B42" s="9">
        <f>Tracker!O42</f>
        <v>43774</v>
      </c>
      <c r="C42" s="31" t="str">
        <f>Tracker!J42</f>
        <v>BPD</v>
      </c>
      <c r="E42" s="31" t="str">
        <f>Tracker!N42</f>
        <v>NA</v>
      </c>
      <c r="F42" s="22">
        <f t="shared" ref="F42:F43" ca="1" si="34">COUNTIF(B42,"&lt;"&amp;TODAY())</f>
        <v>0</v>
      </c>
      <c r="G42" s="22">
        <f ca="1">COUNTIFS(F42,1,Tracker!N42,"Y")</f>
        <v>0</v>
      </c>
      <c r="H42" s="22">
        <f t="shared" ref="H42:H43" si="35">MONTH(B42)</f>
        <v>11</v>
      </c>
      <c r="I42" s="22">
        <f t="shared" ref="I42:I43" si="36">YEAR(B42)</f>
        <v>2019</v>
      </c>
    </row>
    <row r="43" spans="1:9" s="22" customFormat="1">
      <c r="A43" s="22">
        <f>Tracker!A43</f>
        <v>42</v>
      </c>
      <c r="B43" s="9">
        <f>Tracker!O43</f>
        <v>43777</v>
      </c>
      <c r="C43" s="31" t="str">
        <f>Tracker!J43</f>
        <v>SAD</v>
      </c>
      <c r="E43" s="31" t="str">
        <f>Tracker!N43</f>
        <v>NA</v>
      </c>
      <c r="F43" s="22">
        <f t="shared" ca="1" si="34"/>
        <v>0</v>
      </c>
      <c r="G43" s="22">
        <f ca="1">COUNTIFS(F43,1,Tracker!N43,"Y")</f>
        <v>0</v>
      </c>
      <c r="H43" s="22">
        <f t="shared" si="35"/>
        <v>11</v>
      </c>
      <c r="I43" s="22">
        <f t="shared" si="36"/>
        <v>2019</v>
      </c>
    </row>
    <row r="44" spans="1:9" s="22" customFormat="1">
      <c r="B44" s="9"/>
      <c r="C44" s="31"/>
      <c r="E44" s="31"/>
    </row>
    <row r="45" spans="1:9">
      <c r="A45" s="22" t="s">
        <v>1493</v>
      </c>
      <c r="B45" s="22" t="s">
        <v>1494</v>
      </c>
      <c r="C45" s="22" t="s">
        <v>1493</v>
      </c>
      <c r="E45" s="31"/>
      <c r="F45" s="22" t="s">
        <v>1495</v>
      </c>
      <c r="G45" s="22"/>
      <c r="H45" s="22"/>
      <c r="I45" s="22"/>
    </row>
    <row r="51" spans="1:9">
      <c r="A51" s="22" t="s">
        <v>1496</v>
      </c>
      <c r="B51" s="22"/>
      <c r="C51" s="22"/>
      <c r="F51" s="22"/>
      <c r="G51" s="22"/>
      <c r="H51" s="22"/>
      <c r="I51" s="2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MasterData</vt:lpstr>
      <vt:lpstr>Scheduled</vt:lpstr>
      <vt:lpstr>Tracker</vt:lpstr>
      <vt:lpstr>Invited S1</vt:lpstr>
      <vt:lpstr>Queue</vt:lpstr>
      <vt:lpstr>SONA</vt:lpstr>
      <vt:lpstr>Payment</vt:lpstr>
      <vt:lpstr>Eligibility Helper</vt:lpstr>
      <vt:lpstr>Flow</vt:lpstr>
      <vt:lpstr>RO1 Aggregate</vt:lpstr>
      <vt:lpstr>R01 Timeline</vt:lpstr>
      <vt:lpstr>ID</vt:lpstr>
      <vt:lpstr>Session 1</vt:lpstr>
      <vt:lpstr>Session 2</vt:lpstr>
      <vt:lpstr>Session 3</vt:lpstr>
      <vt:lpstr>Session 4</vt:lpstr>
      <vt:lpstr>Session 5</vt:lpstr>
      <vt:lpstr>SAD Contact Info</vt:lpstr>
      <vt:lpstr>'Eligibility Helper'!NAME</vt:lpstr>
      <vt:lpstr>MasterData!NAME</vt:lpstr>
      <vt:lpstr>Payment!NAME</vt:lpstr>
      <vt:lpstr>Scheduled!NAME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Herbert-Ramirez, Begonia B</dc:creator>
  <cp:keywords/>
  <dc:description/>
  <cp:lastModifiedBy>Herbert-Ramirez, Begonia B</cp:lastModifiedBy>
  <cp:revision/>
  <dcterms:created xsi:type="dcterms:W3CDTF">2019-08-07T14:29:36Z</dcterms:created>
  <dcterms:modified xsi:type="dcterms:W3CDTF">2019-11-04T17:46:09Z</dcterms:modified>
  <cp:category/>
  <cp:contentStatus/>
</cp:coreProperties>
</file>