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13_ncr:1_{17E36545-58CB-4ADC-85F3-7F8F608BC6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" i="1" l="1"/>
  <c r="P41" i="1"/>
  <c r="P36" i="1"/>
  <c r="I51" i="1"/>
  <c r="C51" i="1"/>
  <c r="C47" i="1"/>
  <c r="I42" i="1"/>
  <c r="E44" i="1"/>
  <c r="E43" i="1"/>
  <c r="G7" i="1"/>
  <c r="N6" i="1"/>
  <c r="F27" i="1"/>
  <c r="N20" i="1"/>
  <c r="N13" i="1"/>
  <c r="D7" i="1"/>
  <c r="C27" i="1"/>
  <c r="I21" i="1"/>
  <c r="I14" i="1"/>
  <c r="I7" i="1"/>
  <c r="D21" i="1"/>
  <c r="D14" i="1"/>
  <c r="P6" i="1"/>
  <c r="G27" i="1"/>
  <c r="E31" i="1"/>
  <c r="N30" i="1" s="1"/>
  <c r="D27" i="1"/>
  <c r="H14" i="1"/>
  <c r="H21" i="1"/>
  <c r="G14" i="3"/>
  <c r="N13" i="3" s="1"/>
  <c r="N35" i="3"/>
  <c r="N30" i="3"/>
  <c r="N26" i="3"/>
  <c r="N20" i="3"/>
  <c r="I7" i="3"/>
  <c r="G7" i="3"/>
  <c r="N6" i="3" s="1"/>
  <c r="N35" i="1"/>
  <c r="N26" i="1" l="1"/>
</calcChain>
</file>

<file path=xl/sharedStrings.xml><?xml version="1.0" encoding="utf-8"?>
<sst xmlns="http://schemas.openxmlformats.org/spreadsheetml/2006/main" count="143" uniqueCount="59">
  <si>
    <t>Wing</t>
  </si>
  <si>
    <t>S_W</t>
  </si>
  <si>
    <t>MAC</t>
  </si>
  <si>
    <t>(t/c)max</t>
  </si>
  <si>
    <t>density</t>
  </si>
  <si>
    <t>k_P</t>
  </si>
  <si>
    <t>AR</t>
  </si>
  <si>
    <t>n_ult</t>
  </si>
  <si>
    <t>Delta0.25</t>
  </si>
  <si>
    <t>taper</t>
  </si>
  <si>
    <t>Wing Weigh</t>
  </si>
  <si>
    <t>g</t>
  </si>
  <si>
    <t>Vertical Tail</t>
  </si>
  <si>
    <t>V_v</t>
  </si>
  <si>
    <t>Cr/Cv</t>
  </si>
  <si>
    <t>Horizental Tail</t>
  </si>
  <si>
    <t>V_h</t>
  </si>
  <si>
    <t>Ce/Ct</t>
  </si>
  <si>
    <t>Fuselage</t>
  </si>
  <si>
    <t>l_f</t>
  </si>
  <si>
    <t>D_f max</t>
  </si>
  <si>
    <t>k_pf</t>
  </si>
  <si>
    <t>K_inlet</t>
  </si>
  <si>
    <t>Horizental Tail Weight</t>
  </si>
  <si>
    <t>Fuselage Weight</t>
  </si>
  <si>
    <t>Landing Gear</t>
  </si>
  <si>
    <t>K_L</t>
  </si>
  <si>
    <t>K_ret</t>
  </si>
  <si>
    <t>K_LG</t>
  </si>
  <si>
    <t>W_L</t>
  </si>
  <si>
    <t>H_LG</t>
  </si>
  <si>
    <t>b</t>
  </si>
  <si>
    <t>n_ult_land</t>
  </si>
  <si>
    <t>Landing Gear Weight</t>
  </si>
  <si>
    <t>Installed Engine</t>
  </si>
  <si>
    <t>K_E</t>
  </si>
  <si>
    <t>N_E</t>
  </si>
  <si>
    <t>W_E</t>
  </si>
  <si>
    <t>Installed Engine Weight</t>
  </si>
  <si>
    <t>max Load Factor</t>
  </si>
  <si>
    <t>K_p</t>
  </si>
  <si>
    <t>S_V</t>
  </si>
  <si>
    <t>عمودی</t>
  </si>
  <si>
    <t>افقی</t>
  </si>
  <si>
    <t>S_H</t>
  </si>
  <si>
    <t>Cord root</t>
  </si>
  <si>
    <t>sum</t>
  </si>
  <si>
    <t>Seat</t>
  </si>
  <si>
    <t>no</t>
  </si>
  <si>
    <t>number</t>
  </si>
  <si>
    <t>Weight</t>
  </si>
  <si>
    <t>Flight Deck</t>
  </si>
  <si>
    <t>Pass E</t>
  </si>
  <si>
    <t>Sum Seat</t>
  </si>
  <si>
    <t>Instruments</t>
  </si>
  <si>
    <t>Lavatories</t>
  </si>
  <si>
    <t>All</t>
  </si>
  <si>
    <t>Sum Sru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</si>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</sst>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1" xfId="3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1"/>
  <sheetViews>
    <sheetView tabSelected="1" topLeftCell="A31" workbookViewId="0">
      <selection activeCell="O44" sqref="O44"/>
    </sheetView>
  </sheetViews>
  <sheetFormatPr defaultRowHeight="15" x14ac:dyDescent="0.25"/>
  <cols>
    <col min="1" max="1" width="16.28515625" customWidth="1"/>
    <col min="3" max="3" width="11.42578125" customWidth="1"/>
    <col min="9" max="9" width="11" customWidth="1"/>
    <col min="14" max="14" width="22.140625" customWidth="1"/>
    <col min="15" max="15" width="11" customWidth="1"/>
  </cols>
  <sheetData>
    <row r="5" spans="1:16" x14ac:dyDescent="0.25">
      <c r="A5" s="1" t="s">
        <v>11</v>
      </c>
      <c r="C5" s="1"/>
      <c r="D5" s="1"/>
      <c r="E5" s="1"/>
      <c r="F5" s="1"/>
      <c r="G5" s="1" t="s">
        <v>0</v>
      </c>
      <c r="H5" s="1"/>
      <c r="I5" s="1"/>
      <c r="J5" s="1"/>
      <c r="K5" s="1"/>
      <c r="N5" s="3" t="s">
        <v>10</v>
      </c>
      <c r="P5" t="s">
        <v>45</v>
      </c>
    </row>
    <row r="6" spans="1:16" x14ac:dyDescent="0.25">
      <c r="A6">
        <v>1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N6">
        <f>C7*D7*E7*F7*G7*(H7*I7/COS(J7*PI()/180))^0.6*K7^0.04</f>
        <v>4471.2969505680612</v>
      </c>
      <c r="P6">
        <f>156.2/12</f>
        <v>13.016666666666666</v>
      </c>
    </row>
    <row r="7" spans="1:16" x14ac:dyDescent="0.25">
      <c r="C7">
        <v>680</v>
      </c>
      <c r="D7">
        <f xml:space="preserve"> 2/3*P6*(1+K7^2/(1+K7))</f>
        <v>9.2092916666666671</v>
      </c>
      <c r="E7">
        <v>0.12</v>
      </c>
      <c r="F7">
        <v>169.24</v>
      </c>
      <c r="G7">
        <f>B15</f>
        <v>3.0000000000000001E-3</v>
      </c>
      <c r="H7">
        <v>9.5</v>
      </c>
      <c r="I7">
        <f xml:space="preserve"> A20*1.5</f>
        <v>6</v>
      </c>
      <c r="J7">
        <v>30</v>
      </c>
      <c r="K7">
        <v>0.28000000000000003</v>
      </c>
    </row>
    <row r="9" spans="1:16" x14ac:dyDescent="0.25">
      <c r="A9" s="1" t="s">
        <v>39</v>
      </c>
      <c r="B9" s="1" t="s">
        <v>40</v>
      </c>
    </row>
    <row r="10" spans="1:16" x14ac:dyDescent="0.25">
      <c r="A10">
        <v>3</v>
      </c>
      <c r="B10">
        <v>2.5000000000000001E-3</v>
      </c>
    </row>
    <row r="11" spans="1:16" x14ac:dyDescent="0.25">
      <c r="A11">
        <v>3.1</v>
      </c>
      <c r="B11">
        <v>2.5999999999999999E-3</v>
      </c>
      <c r="H11" t="s">
        <v>42</v>
      </c>
    </row>
    <row r="12" spans="1:16" x14ac:dyDescent="0.25">
      <c r="A12">
        <v>3.2</v>
      </c>
      <c r="B12">
        <v>2.7000000000000001E-3</v>
      </c>
      <c r="C12" s="1"/>
      <c r="D12" s="1"/>
      <c r="E12" s="1"/>
      <c r="F12" s="1"/>
      <c r="G12" s="1"/>
      <c r="H12" s="1" t="s">
        <v>12</v>
      </c>
      <c r="I12" s="1"/>
      <c r="J12" s="1"/>
      <c r="K12" s="1"/>
      <c r="L12" s="1"/>
      <c r="M12" s="1"/>
      <c r="N12" s="3" t="s">
        <v>12</v>
      </c>
      <c r="P12" t="s">
        <v>45</v>
      </c>
    </row>
    <row r="13" spans="1:16" x14ac:dyDescent="0.25">
      <c r="A13">
        <v>3.3</v>
      </c>
      <c r="B13">
        <v>2.8E-3</v>
      </c>
      <c r="C13" s="2" t="s">
        <v>41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13</v>
      </c>
      <c r="M13" s="2" t="s">
        <v>14</v>
      </c>
      <c r="N13">
        <f>C14*D14*E14*F14*G14*(H14/COS(J14*PI()/180))^0.6*K14^0.04*L14^0.2*M14^0.4</f>
        <v>919.00651092571582</v>
      </c>
      <c r="P13">
        <v>14.68</v>
      </c>
    </row>
    <row r="14" spans="1:16" x14ac:dyDescent="0.25">
      <c r="A14">
        <v>3.4</v>
      </c>
      <c r="B14">
        <v>2.8999999999999998E-3</v>
      </c>
      <c r="C14">
        <v>168</v>
      </c>
      <c r="D14">
        <f xml:space="preserve"> 2/3*P13*(1+K7^2/(1+K7))</f>
        <v>10.386099999999999</v>
      </c>
      <c r="E14">
        <v>0.12</v>
      </c>
      <c r="F14">
        <v>169.24</v>
      </c>
      <c r="G14">
        <v>0.04</v>
      </c>
      <c r="H14">
        <f>(89.44*0.4/2)^2/C14</f>
        <v>1.9046460952380957</v>
      </c>
      <c r="I14">
        <f xml:space="preserve"> A20*1.5</f>
        <v>6</v>
      </c>
      <c r="J14">
        <v>36</v>
      </c>
      <c r="K14">
        <v>0.28000000000000003</v>
      </c>
      <c r="L14">
        <v>0.104</v>
      </c>
      <c r="M14">
        <v>0.33</v>
      </c>
    </row>
    <row r="15" spans="1:16" x14ac:dyDescent="0.25">
      <c r="A15">
        <v>3.5</v>
      </c>
      <c r="B15">
        <v>3.0000000000000001E-3</v>
      </c>
    </row>
    <row r="16" spans="1:16" x14ac:dyDescent="0.25">
      <c r="A16">
        <v>3.6</v>
      </c>
    </row>
    <row r="17" spans="1:16" x14ac:dyDescent="0.25">
      <c r="A17">
        <v>3.7</v>
      </c>
    </row>
    <row r="18" spans="1:16" x14ac:dyDescent="0.25">
      <c r="A18">
        <v>3.8</v>
      </c>
      <c r="H18" t="s">
        <v>43</v>
      </c>
    </row>
    <row r="19" spans="1:16" x14ac:dyDescent="0.25">
      <c r="A19">
        <v>3.9</v>
      </c>
      <c r="C19" s="1"/>
      <c r="D19" s="1"/>
      <c r="E19" s="1"/>
      <c r="F19" s="1"/>
      <c r="G19" s="1"/>
      <c r="H19" s="1" t="s">
        <v>15</v>
      </c>
      <c r="I19" s="1"/>
      <c r="J19" s="1"/>
      <c r="K19" s="1"/>
      <c r="L19" s="1"/>
      <c r="M19" s="1"/>
      <c r="N19" s="3" t="s">
        <v>23</v>
      </c>
      <c r="P19" t="s">
        <v>45</v>
      </c>
    </row>
    <row r="20" spans="1:16" x14ac:dyDescent="0.25">
      <c r="A20">
        <v>4</v>
      </c>
      <c r="C20" s="2" t="s">
        <v>44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16</v>
      </c>
      <c r="M20" s="2" t="s">
        <v>17</v>
      </c>
      <c r="N20">
        <f>C21*D21*E21*F21*G21*(H21/COS(J21*PI()/180))^0.6*K21^0.04*L21^0.2*M21^0.4</f>
        <v>1145.0959304270712</v>
      </c>
      <c r="P20">
        <v>7.61</v>
      </c>
    </row>
    <row r="21" spans="1:16" x14ac:dyDescent="0.25">
      <c r="C21">
        <v>174.27</v>
      </c>
      <c r="D21">
        <f xml:space="preserve"> 2/3*P20*(1+K7^2/(1+K7))</f>
        <v>5.3840750000000002</v>
      </c>
      <c r="E21">
        <v>0.12</v>
      </c>
      <c r="F21">
        <v>169.24</v>
      </c>
      <c r="G21">
        <v>2.8000000000000001E-2</v>
      </c>
      <c r="H21">
        <f>(35.77^2)/C21</f>
        <v>7.3420146898490852</v>
      </c>
      <c r="I21">
        <f xml:space="preserve"> A20*1.5</f>
        <v>6</v>
      </c>
      <c r="J21">
        <v>28</v>
      </c>
      <c r="K21">
        <v>0.28000000000000003</v>
      </c>
      <c r="L21">
        <v>1.0629999999999999</v>
      </c>
      <c r="M21">
        <v>0.31</v>
      </c>
    </row>
    <row r="25" spans="1:16" x14ac:dyDescent="0.25">
      <c r="B25" s="1" t="s">
        <v>28</v>
      </c>
      <c r="C25" s="1"/>
      <c r="D25" s="1"/>
      <c r="E25" s="1" t="s">
        <v>18</v>
      </c>
      <c r="F25" s="1"/>
      <c r="G25" s="1"/>
      <c r="H25" s="1"/>
      <c r="N25" s="3" t="s">
        <v>24</v>
      </c>
    </row>
    <row r="26" spans="1:16" x14ac:dyDescent="0.25">
      <c r="B26">
        <v>0.28000000000000003</v>
      </c>
      <c r="C26" s="2" t="s">
        <v>19</v>
      </c>
      <c r="D26" s="2" t="s">
        <v>20</v>
      </c>
      <c r="E26" s="2" t="s">
        <v>4</v>
      </c>
      <c r="F26" s="2" t="s">
        <v>21</v>
      </c>
      <c r="G26" s="2" t="s">
        <v>7</v>
      </c>
      <c r="H26" s="2" t="s">
        <v>22</v>
      </c>
      <c r="N26">
        <f>C27*D27^2*E27*F27*G27^0.25*H27</f>
        <v>6747.9988428878241</v>
      </c>
    </row>
    <row r="27" spans="1:16" x14ac:dyDescent="0.25">
      <c r="B27">
        <v>0.28999999999999998</v>
      </c>
      <c r="C27">
        <f>8.82*110/12</f>
        <v>80.850000000000009</v>
      </c>
      <c r="D27">
        <f>110/12</f>
        <v>9.1666666666666661</v>
      </c>
      <c r="E27">
        <v>169.24</v>
      </c>
      <c r="F27">
        <f>B15</f>
        <v>3.0000000000000001E-3</v>
      </c>
      <c r="G27">
        <f>A20*1.5</f>
        <v>6</v>
      </c>
      <c r="H27">
        <v>1.25</v>
      </c>
    </row>
    <row r="28" spans="1:16" x14ac:dyDescent="0.25">
      <c r="B28">
        <v>0.3</v>
      </c>
    </row>
    <row r="29" spans="1:16" x14ac:dyDescent="0.25">
      <c r="B29">
        <v>0.31</v>
      </c>
      <c r="C29" s="1"/>
      <c r="D29" s="1"/>
      <c r="E29" s="1"/>
      <c r="F29" s="1" t="s">
        <v>25</v>
      </c>
      <c r="G29" s="1"/>
      <c r="H29" s="1"/>
      <c r="I29" s="1"/>
      <c r="N29" s="3" t="s">
        <v>33</v>
      </c>
    </row>
    <row r="30" spans="1:16" x14ac:dyDescent="0.25">
      <c r="B30">
        <v>0.32</v>
      </c>
      <c r="C30" s="2" t="s">
        <v>26</v>
      </c>
      <c r="D30" s="2" t="s">
        <v>27</v>
      </c>
      <c r="E30" s="2" t="s">
        <v>28</v>
      </c>
      <c r="F30" s="2" t="s">
        <v>29</v>
      </c>
      <c r="G30" s="2" t="s">
        <v>30</v>
      </c>
      <c r="H30" s="2" t="s">
        <v>31</v>
      </c>
      <c r="I30" s="2" t="s">
        <v>32</v>
      </c>
      <c r="N30">
        <f xml:space="preserve"> C31*D31*E31*F31*(G31/H31)*I31^0.2</f>
        <v>1778.7075134168165</v>
      </c>
    </row>
    <row r="31" spans="1:16" x14ac:dyDescent="0.25">
      <c r="B31">
        <v>0.33</v>
      </c>
      <c r="C31">
        <v>59000</v>
      </c>
      <c r="D31">
        <v>1.07</v>
      </c>
      <c r="E31">
        <f>B26</f>
        <v>0.28000000000000003</v>
      </c>
      <c r="F31">
        <v>1</v>
      </c>
      <c r="G31">
        <v>9</v>
      </c>
      <c r="H31">
        <v>89.44</v>
      </c>
      <c r="I31">
        <v>1</v>
      </c>
    </row>
    <row r="32" spans="1:16" x14ac:dyDescent="0.25">
      <c r="B32">
        <v>0.34</v>
      </c>
    </row>
    <row r="33" spans="2:16" x14ac:dyDescent="0.25">
      <c r="B33">
        <v>0.35</v>
      </c>
    </row>
    <row r="34" spans="2:16" x14ac:dyDescent="0.25">
      <c r="C34" s="1"/>
      <c r="D34" s="1" t="s">
        <v>34</v>
      </c>
      <c r="E34" s="1"/>
      <c r="N34" s="3" t="s">
        <v>38</v>
      </c>
    </row>
    <row r="35" spans="2:16" x14ac:dyDescent="0.25">
      <c r="C35" s="2" t="s">
        <v>35</v>
      </c>
      <c r="D35" s="2" t="s">
        <v>36</v>
      </c>
      <c r="E35" s="2" t="s">
        <v>37</v>
      </c>
      <c r="N35">
        <f xml:space="preserve"> C36*D36*E36^0.9</f>
        <v>8665.7983829205805</v>
      </c>
      <c r="P35" t="s">
        <v>46</v>
      </c>
    </row>
    <row r="36" spans="2:16" x14ac:dyDescent="0.25">
      <c r="C36">
        <v>2.6</v>
      </c>
      <c r="D36">
        <v>2</v>
      </c>
      <c r="E36">
        <v>3800</v>
      </c>
      <c r="P36">
        <f>N6+N13+N20+N26+N30+N35+I51</f>
        <v>25498.945112116347</v>
      </c>
    </row>
    <row r="40" spans="2:16" x14ac:dyDescent="0.25">
      <c r="P40" t="s">
        <v>57</v>
      </c>
    </row>
    <row r="41" spans="2:16" x14ac:dyDescent="0.25">
      <c r="C41" s="1"/>
      <c r="D41" s="1" t="s">
        <v>47</v>
      </c>
      <c r="E41" s="1"/>
      <c r="I41" t="s">
        <v>53</v>
      </c>
      <c r="P41">
        <f>N6+N13+N21+N26+N30</f>
        <v>13917.009817798418</v>
      </c>
    </row>
    <row r="42" spans="2:16" x14ac:dyDescent="0.25">
      <c r="C42" t="s">
        <v>48</v>
      </c>
      <c r="D42" t="s">
        <v>49</v>
      </c>
      <c r="E42" t="s">
        <v>50</v>
      </c>
      <c r="I42">
        <f xml:space="preserve"> D43*E43+D44*E44</f>
        <v>1709.4</v>
      </c>
    </row>
    <row r="43" spans="2:16" x14ac:dyDescent="0.25">
      <c r="C43" t="s">
        <v>51</v>
      </c>
      <c r="D43">
        <v>2</v>
      </c>
      <c r="E43">
        <f>26*2.2</f>
        <v>57.2</v>
      </c>
      <c r="P43" t="s">
        <v>58</v>
      </c>
    </row>
    <row r="44" spans="2:16" x14ac:dyDescent="0.25">
      <c r="C44" t="s">
        <v>52</v>
      </c>
      <c r="D44">
        <v>50</v>
      </c>
      <c r="E44">
        <f>14.5*2.2</f>
        <v>31.900000000000002</v>
      </c>
      <c r="P44">
        <f>0.12*59000</f>
        <v>7080</v>
      </c>
    </row>
    <row r="46" spans="2:16" x14ac:dyDescent="0.25">
      <c r="C46" s="1" t="s">
        <v>54</v>
      </c>
    </row>
    <row r="47" spans="2:16" x14ac:dyDescent="0.25">
      <c r="C47">
        <f>7*2.2</f>
        <v>15.400000000000002</v>
      </c>
    </row>
    <row r="50" spans="3:9" x14ac:dyDescent="0.25">
      <c r="C50" s="1" t="s">
        <v>55</v>
      </c>
      <c r="I50" t="s">
        <v>56</v>
      </c>
    </row>
    <row r="51" spans="3:9" x14ac:dyDescent="0.25">
      <c r="C51">
        <f>0.13*D44^1.3*2.2</f>
        <v>46.240980970281058</v>
      </c>
      <c r="I51">
        <f xml:space="preserve"> I42+C47+C51</f>
        <v>1771.0409809702812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2DAC-4DBF-4B74-8267-073CF4F694D7}">
  <dimension ref="A5:N36"/>
  <sheetViews>
    <sheetView workbookViewId="0">
      <selection activeCell="L21" sqref="L21"/>
    </sheetView>
  </sheetViews>
  <sheetFormatPr defaultRowHeight="15" x14ac:dyDescent="0.25"/>
  <cols>
    <col min="1" max="1" width="16.28515625" customWidth="1"/>
    <col min="9" max="9" width="11" customWidth="1"/>
    <col min="14" max="14" width="22.140625" customWidth="1"/>
  </cols>
  <sheetData>
    <row r="5" spans="1:14" x14ac:dyDescent="0.25">
      <c r="A5" s="1" t="s">
        <v>11</v>
      </c>
      <c r="C5" s="1"/>
      <c r="D5" s="1"/>
      <c r="E5" s="1"/>
      <c r="F5" s="1"/>
      <c r="G5" s="1" t="s">
        <v>0</v>
      </c>
      <c r="H5" s="1"/>
      <c r="I5" s="1"/>
      <c r="J5" s="1"/>
      <c r="K5" s="1"/>
      <c r="N5" s="3" t="s">
        <v>10</v>
      </c>
    </row>
    <row r="6" spans="1:14" x14ac:dyDescent="0.25">
      <c r="A6">
        <v>32.17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N6">
        <f>C7*D7*E7*F7*G7*(H7*I7/COS(J7*PI()/180))^0.6*K7*0.04</f>
        <v>3.0092326314673041</v>
      </c>
    </row>
    <row r="7" spans="1:14" x14ac:dyDescent="0.25">
      <c r="C7">
        <v>510</v>
      </c>
      <c r="D7">
        <v>1</v>
      </c>
      <c r="E7">
        <v>0.12</v>
      </c>
      <c r="F7">
        <v>169.24</v>
      </c>
      <c r="G7">
        <f>B10</f>
        <v>2.5000000000000001E-3</v>
      </c>
      <c r="H7">
        <v>9.5</v>
      </c>
      <c r="I7">
        <f xml:space="preserve"> A10*1.5</f>
        <v>4.5</v>
      </c>
      <c r="J7">
        <v>30</v>
      </c>
      <c r="K7">
        <v>0.28000000000000003</v>
      </c>
    </row>
    <row r="9" spans="1:14" x14ac:dyDescent="0.25">
      <c r="A9" s="1" t="s">
        <v>39</v>
      </c>
      <c r="B9" s="1" t="s">
        <v>40</v>
      </c>
    </row>
    <row r="10" spans="1:14" x14ac:dyDescent="0.25">
      <c r="A10">
        <v>3</v>
      </c>
      <c r="B10">
        <v>2.5000000000000001E-3</v>
      </c>
    </row>
    <row r="11" spans="1:14" x14ac:dyDescent="0.25">
      <c r="A11">
        <v>3.1</v>
      </c>
      <c r="B11">
        <v>2.5999999999999999E-3</v>
      </c>
    </row>
    <row r="12" spans="1:14" x14ac:dyDescent="0.25">
      <c r="A12">
        <v>3.2</v>
      </c>
      <c r="B12">
        <v>2.7000000000000001E-3</v>
      </c>
      <c r="C12" s="1"/>
      <c r="D12" s="1"/>
      <c r="E12" s="1"/>
      <c r="F12" s="1"/>
      <c r="G12" s="1"/>
      <c r="H12" s="1" t="s">
        <v>12</v>
      </c>
      <c r="I12" s="1"/>
      <c r="J12" s="1"/>
      <c r="K12" s="1"/>
      <c r="L12" s="1"/>
      <c r="M12" s="1"/>
      <c r="N12" s="3" t="s">
        <v>12</v>
      </c>
    </row>
    <row r="13" spans="1:14" x14ac:dyDescent="0.25">
      <c r="A13">
        <v>3.3</v>
      </c>
      <c r="B13">
        <v>2.8E-3</v>
      </c>
      <c r="C13" s="2" t="s">
        <v>41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13</v>
      </c>
      <c r="M13" s="2" t="s">
        <v>14</v>
      </c>
      <c r="N13">
        <f>C14*D14*E14*F14*G14*(H14*I14/COS(J14*PI()/180))^0.6*K14^0.04*L14^0.2*M14^0.4*A6</f>
        <v>1386.774440276648</v>
      </c>
    </row>
    <row r="14" spans="1:14" x14ac:dyDescent="0.25">
      <c r="A14">
        <v>3.4</v>
      </c>
      <c r="B14">
        <v>2.8999999999999998E-3</v>
      </c>
      <c r="C14">
        <v>168</v>
      </c>
      <c r="D14">
        <v>1</v>
      </c>
      <c r="E14">
        <v>1</v>
      </c>
      <c r="F14">
        <v>169.24</v>
      </c>
      <c r="G14">
        <f>B10</f>
        <v>2.5000000000000001E-3</v>
      </c>
      <c r="H14">
        <v>1</v>
      </c>
      <c r="I14">
        <v>1</v>
      </c>
      <c r="J14">
        <v>1</v>
      </c>
      <c r="K14">
        <v>1</v>
      </c>
      <c r="L14">
        <v>8.2000000000000003E-2</v>
      </c>
      <c r="M14">
        <v>1</v>
      </c>
    </row>
    <row r="15" spans="1:14" x14ac:dyDescent="0.25">
      <c r="A15">
        <v>3.5</v>
      </c>
      <c r="B15">
        <v>3.0000000000000001E-3</v>
      </c>
    </row>
    <row r="16" spans="1:14" x14ac:dyDescent="0.25">
      <c r="A16">
        <v>3.6</v>
      </c>
    </row>
    <row r="17" spans="1:14" x14ac:dyDescent="0.25">
      <c r="A17">
        <v>3.7</v>
      </c>
    </row>
    <row r="18" spans="1:14" x14ac:dyDescent="0.25">
      <c r="A18">
        <v>3.8</v>
      </c>
    </row>
    <row r="19" spans="1:14" x14ac:dyDescent="0.25">
      <c r="A19">
        <v>3.9</v>
      </c>
      <c r="C19" s="1"/>
      <c r="D19" s="1"/>
      <c r="E19" s="1"/>
      <c r="F19" s="1"/>
      <c r="G19" s="1"/>
      <c r="H19" s="1" t="s">
        <v>15</v>
      </c>
      <c r="I19" s="1"/>
      <c r="J19" s="1"/>
      <c r="K19" s="1"/>
      <c r="L19" s="1"/>
      <c r="M19" s="1"/>
      <c r="N19" s="3" t="s">
        <v>23</v>
      </c>
    </row>
    <row r="20" spans="1:14" x14ac:dyDescent="0.25">
      <c r="A20">
        <v>4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16</v>
      </c>
      <c r="M20" s="2" t="s">
        <v>17</v>
      </c>
      <c r="N20">
        <f>C21*D21*E21*F21*G21*(H21*I21/COS(J21*PI()/180))^0.6*K21^0.04*L21^0.2*M21^0.4*A6</f>
        <v>32.338526180694842</v>
      </c>
    </row>
    <row r="21" spans="1:14" x14ac:dyDescent="0.25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1.026</v>
      </c>
      <c r="M21">
        <v>1</v>
      </c>
    </row>
    <row r="25" spans="1:14" x14ac:dyDescent="0.25">
      <c r="C25" s="1"/>
      <c r="D25" s="1"/>
      <c r="E25" s="1" t="s">
        <v>18</v>
      </c>
      <c r="F25" s="1"/>
      <c r="G25" s="1"/>
      <c r="H25" s="1"/>
      <c r="N25" s="3" t="s">
        <v>24</v>
      </c>
    </row>
    <row r="26" spans="1:14" x14ac:dyDescent="0.25">
      <c r="C26" s="2" t="s">
        <v>19</v>
      </c>
      <c r="D26" s="2" t="s">
        <v>20</v>
      </c>
      <c r="E26" s="2" t="s">
        <v>4</v>
      </c>
      <c r="F26" s="2" t="s">
        <v>21</v>
      </c>
      <c r="G26" s="2" t="s">
        <v>7</v>
      </c>
      <c r="H26" s="2" t="s">
        <v>22</v>
      </c>
      <c r="N26">
        <f>C27*D27^2*E27*F27*G27^0.25*H27*A6</f>
        <v>32.17</v>
      </c>
    </row>
    <row r="27" spans="1:14" x14ac:dyDescent="0.25"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9" spans="1:14" x14ac:dyDescent="0.25">
      <c r="C29" s="1"/>
      <c r="D29" s="1"/>
      <c r="E29" s="1"/>
      <c r="F29" s="1" t="s">
        <v>25</v>
      </c>
      <c r="G29" s="1"/>
      <c r="H29" s="1"/>
      <c r="I29" s="1"/>
      <c r="N29" s="3" t="s">
        <v>33</v>
      </c>
    </row>
    <row r="30" spans="1:14" x14ac:dyDescent="0.25">
      <c r="C30" s="2" t="s">
        <v>26</v>
      </c>
      <c r="D30" s="2" t="s">
        <v>27</v>
      </c>
      <c r="E30" s="2" t="s">
        <v>28</v>
      </c>
      <c r="F30" s="2" t="s">
        <v>29</v>
      </c>
      <c r="G30" s="2" t="s">
        <v>30</v>
      </c>
      <c r="H30" s="2" t="s">
        <v>31</v>
      </c>
      <c r="I30" s="2" t="s">
        <v>32</v>
      </c>
      <c r="N30">
        <f xml:space="preserve"> C31*D31*E31*F31*(G31/H31)*I31^0.2</f>
        <v>1</v>
      </c>
    </row>
    <row r="31" spans="1:14" x14ac:dyDescent="0.25"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4" spans="3:14" x14ac:dyDescent="0.25">
      <c r="C34" s="1"/>
      <c r="D34" s="1" t="s">
        <v>34</v>
      </c>
      <c r="E34" s="1"/>
      <c r="N34" s="3" t="s">
        <v>38</v>
      </c>
    </row>
    <row r="35" spans="3:14" x14ac:dyDescent="0.25">
      <c r="C35" s="2" t="s">
        <v>35</v>
      </c>
      <c r="D35" s="2" t="s">
        <v>36</v>
      </c>
      <c r="E35" s="2" t="s">
        <v>37</v>
      </c>
      <c r="N35">
        <f xml:space="preserve"> C36*D36*E36^0.9</f>
        <v>1</v>
      </c>
    </row>
    <row r="36" spans="3:14" x14ac:dyDescent="0.25">
      <c r="C36">
        <v>1</v>
      </c>
      <c r="D36">
        <v>1</v>
      </c>
      <c r="E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2015-06-05T18:17:20Z</dcterms:created>
  <dcterms:modified xsi:type="dcterms:W3CDTF">2021-02-07T14:48:55Z</dcterms:modified>
</cp:coreProperties>
</file>