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FCDEF17B-8670-49F8-8875-211898A61101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CL_max">Sheet1!$E$19</definedName>
    <definedName name="ro">Sheet1!$E$21</definedName>
    <definedName name="V_SL">Sheet1!$E$17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 l="1"/>
  <c r="E9" i="1"/>
  <c r="E10" i="1" l="1"/>
  <c r="K18" i="1"/>
  <c r="K17" i="1"/>
  <c r="D56" i="1" l="1"/>
  <c r="D53" i="1"/>
  <c r="D54" i="1" s="1"/>
  <c r="E15" i="1" l="1"/>
  <c r="E17" i="1" s="1"/>
  <c r="I37" i="1" s="1"/>
  <c r="I38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E14" i="1"/>
  <c r="E16" i="1" s="1"/>
  <c r="I28" i="1" s="1"/>
  <c r="I29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I31" i="1" l="1"/>
  <c r="I32" i="1" s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I34" i="1"/>
  <c r="I35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I25" i="1"/>
  <c r="I26" i="1" s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I40" i="1"/>
  <c r="I4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E40" i="1"/>
  <c r="E41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E37" i="1"/>
  <c r="E38" i="1" s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E34" i="1"/>
  <c r="E35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E31" i="1"/>
  <c r="E32" i="1" s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E28" i="1"/>
  <c r="E29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E25" i="1"/>
  <c r="E26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</calcChain>
</file>

<file path=xl/sharedStrings.xml><?xml version="1.0" encoding="utf-8"?>
<sst xmlns="http://schemas.openxmlformats.org/spreadsheetml/2006/main" count="100" uniqueCount="56">
  <si>
    <t>W_landing/W_TO</t>
  </si>
  <si>
    <t>76 seat</t>
  </si>
  <si>
    <t>50 seat</t>
  </si>
  <si>
    <t>&lt;141 knot</t>
  </si>
  <si>
    <t>رابطه در صفحه 28 موجود است</t>
  </si>
  <si>
    <t>&lt;---fuel fraction</t>
  </si>
  <si>
    <t>(W/S)_L</t>
  </si>
  <si>
    <t>CL_max</t>
  </si>
  <si>
    <t>high</t>
  </si>
  <si>
    <t>medium</t>
  </si>
  <si>
    <t>low</t>
  </si>
  <si>
    <t>(W/S)_TO</t>
  </si>
  <si>
    <t>50 seat medium tech</t>
  </si>
  <si>
    <t>50 seat high tech</t>
  </si>
  <si>
    <t>50 seat low tech</t>
  </si>
  <si>
    <t>76 seat high tech</t>
  </si>
  <si>
    <t>76 seat medium tech</t>
  </si>
  <si>
    <t>76 seat low tech</t>
  </si>
  <si>
    <t>RFP</t>
  </si>
  <si>
    <t>ro (slug/ft^3)(sea level)</t>
  </si>
  <si>
    <t>ro (slug/ft^3)(5000 ft)</t>
  </si>
  <si>
    <t>1 knot=1.688 fps</t>
  </si>
  <si>
    <t>air density</t>
  </si>
  <si>
    <t>&lt;--speed by fps</t>
  </si>
  <si>
    <t>V_A (knot)</t>
  </si>
  <si>
    <t>V_A  (knot)</t>
  </si>
  <si>
    <t>V_SL (knot)</t>
  </si>
  <si>
    <t>T/W</t>
  </si>
  <si>
    <t>W/S 50 high</t>
  </si>
  <si>
    <t>W/S 50 midium</t>
  </si>
  <si>
    <t>W/S 50 low</t>
  </si>
  <si>
    <t>W/S 50 high (5000ft)</t>
  </si>
  <si>
    <t>W/S 50 midium (5000ft)</t>
  </si>
  <si>
    <t>W/S 50 low (5000ft)</t>
  </si>
  <si>
    <t>W/S 76 high</t>
  </si>
  <si>
    <t>W/S 76 midium</t>
  </si>
  <si>
    <t>W/S 76 low</t>
  </si>
  <si>
    <t>W/S 76 high (5000ft)</t>
  </si>
  <si>
    <t>W/S 76 midium (5000ft)</t>
  </si>
  <si>
    <t>W/S 76 low (5000ft)</t>
  </si>
  <si>
    <t>50 seat high tech (5000ft)</t>
  </si>
  <si>
    <t>50 seat medium tech  (5000ft)</t>
  </si>
  <si>
    <t>50 seat low tech  (5000ft)</t>
  </si>
  <si>
    <t>76 seat high tech  (5000ft)</t>
  </si>
  <si>
    <t>76 seat medium tech  (5000ft)</t>
  </si>
  <si>
    <t>76 seat low tech  (5000ft)</t>
  </si>
  <si>
    <t>Calibrated Air Speed</t>
  </si>
  <si>
    <t>S_FL (ft)</t>
  </si>
  <si>
    <t>ISA + 18F</t>
  </si>
  <si>
    <t>M</t>
  </si>
  <si>
    <t>CAS</t>
  </si>
  <si>
    <t>P (static pressure)</t>
  </si>
  <si>
    <t>P_0 (static pressure at sea level)</t>
  </si>
  <si>
    <t>q_c (impact pressure)</t>
  </si>
  <si>
    <t>a_0 (sound speed at 15 C)</t>
  </si>
  <si>
    <t>sea level (50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</si>
</sst>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2" borderId="1" xfId="0" applyNumberForma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1" xfId="1" applyBorder="1"/>
    <xf numFmtId="0" fontId="1" fillId="5" borderId="0" xfId="1"/>
    <xf numFmtId="0" fontId="1" fillId="5" borderId="1" xfId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7"/>
          <c:order val="0"/>
          <c:tx>
            <c:v>CL max=3, for 50 seat, at sea level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Sheet1!$O$2:$O$20</c:f>
              <c:numCache>
                <c:formatCode>General</c:formatCode>
                <c:ptCount val="19"/>
                <c:pt idx="0">
                  <c:v>147.19146588611167</c:v>
                </c:pt>
                <c:pt idx="1">
                  <c:v>147.19146588611167</c:v>
                </c:pt>
                <c:pt idx="2">
                  <c:v>147.19146588611167</c:v>
                </c:pt>
                <c:pt idx="3">
                  <c:v>147.19146588611167</c:v>
                </c:pt>
                <c:pt idx="4">
                  <c:v>147.19146588611167</c:v>
                </c:pt>
                <c:pt idx="5">
                  <c:v>147.19146588611167</c:v>
                </c:pt>
                <c:pt idx="6">
                  <c:v>147.19146588611167</c:v>
                </c:pt>
                <c:pt idx="7">
                  <c:v>147.19146588611167</c:v>
                </c:pt>
                <c:pt idx="8">
                  <c:v>147.19146588611167</c:v>
                </c:pt>
                <c:pt idx="9">
                  <c:v>147.19146588611167</c:v>
                </c:pt>
                <c:pt idx="10">
                  <c:v>147.19146588611167</c:v>
                </c:pt>
                <c:pt idx="11">
                  <c:v>147.19146588611167</c:v>
                </c:pt>
                <c:pt idx="12">
                  <c:v>147.19146588611167</c:v>
                </c:pt>
                <c:pt idx="13">
                  <c:v>147.19146588611167</c:v>
                </c:pt>
                <c:pt idx="14">
                  <c:v>147.19146588611167</c:v>
                </c:pt>
                <c:pt idx="15">
                  <c:v>147.19146588611167</c:v>
                </c:pt>
                <c:pt idx="16">
                  <c:v>147.19146588611167</c:v>
                </c:pt>
                <c:pt idx="17">
                  <c:v>147.19146588611167</c:v>
                </c:pt>
                <c:pt idx="18">
                  <c:v>147.19146588611167</c:v>
                </c:pt>
              </c:numCache>
            </c:numRef>
          </c:xVal>
          <c:yVal>
            <c:numRef>
              <c:f>Sheet1!$N$2:$N$20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F61-4A70-BC91-712061D6E1C0}"/>
            </c:ext>
          </c:extLst>
        </c:ser>
        <c:ser>
          <c:idx val="0"/>
          <c:order val="1"/>
          <c:tx>
            <c:v>CL max=3, for 50 seat, at 5000ft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Sheet1!$R$2:$R$20</c:f>
              <c:numCache>
                <c:formatCode>General</c:formatCode>
                <c:ptCount val="19"/>
                <c:pt idx="0">
                  <c:v>126.65371771921107</c:v>
                </c:pt>
                <c:pt idx="1">
                  <c:v>126.65371771921107</c:v>
                </c:pt>
                <c:pt idx="2">
                  <c:v>126.65371771921107</c:v>
                </c:pt>
                <c:pt idx="3">
                  <c:v>126.65371771921107</c:v>
                </c:pt>
                <c:pt idx="4">
                  <c:v>126.65371771921107</c:v>
                </c:pt>
                <c:pt idx="5">
                  <c:v>126.65371771921107</c:v>
                </c:pt>
                <c:pt idx="6">
                  <c:v>126.65371771921107</c:v>
                </c:pt>
                <c:pt idx="7">
                  <c:v>126.65371771921107</c:v>
                </c:pt>
                <c:pt idx="8">
                  <c:v>126.65371771921107</c:v>
                </c:pt>
                <c:pt idx="9">
                  <c:v>126.65371771921107</c:v>
                </c:pt>
                <c:pt idx="10">
                  <c:v>126.65371771921107</c:v>
                </c:pt>
                <c:pt idx="11">
                  <c:v>126.65371771921107</c:v>
                </c:pt>
                <c:pt idx="12">
                  <c:v>126.65371771921107</c:v>
                </c:pt>
                <c:pt idx="13">
                  <c:v>126.65371771921107</c:v>
                </c:pt>
                <c:pt idx="14">
                  <c:v>126.65371771921107</c:v>
                </c:pt>
                <c:pt idx="15">
                  <c:v>126.65371771921107</c:v>
                </c:pt>
                <c:pt idx="16">
                  <c:v>126.65371771921107</c:v>
                </c:pt>
                <c:pt idx="17">
                  <c:v>126.65371771921107</c:v>
                </c:pt>
                <c:pt idx="18">
                  <c:v>126.65371771921107</c:v>
                </c:pt>
              </c:numCache>
            </c:numRef>
          </c:xVal>
          <c:yVal>
            <c:numRef>
              <c:f>Sheet1!$N$2:$N$20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F61-4A70-BC91-712061D6E1C0}"/>
            </c:ext>
          </c:extLst>
        </c:ser>
        <c:ser>
          <c:idx val="1"/>
          <c:order val="2"/>
          <c:tx>
            <c:v>CL max=3, for 76 seat,at seat level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Sheet1!$W$2:$W$20</c:f>
              <c:numCache>
                <c:formatCode>General</c:formatCode>
                <c:ptCount val="19"/>
                <c:pt idx="0">
                  <c:v>229.9848978831493</c:v>
                </c:pt>
                <c:pt idx="1">
                  <c:v>229.9848978831493</c:v>
                </c:pt>
                <c:pt idx="2">
                  <c:v>229.9848978831493</c:v>
                </c:pt>
                <c:pt idx="3">
                  <c:v>229.9848978831493</c:v>
                </c:pt>
                <c:pt idx="4">
                  <c:v>229.9848978831493</c:v>
                </c:pt>
                <c:pt idx="5">
                  <c:v>229.9848978831493</c:v>
                </c:pt>
                <c:pt idx="6">
                  <c:v>229.9848978831493</c:v>
                </c:pt>
                <c:pt idx="7">
                  <c:v>229.9848978831493</c:v>
                </c:pt>
                <c:pt idx="8">
                  <c:v>229.9848978831493</c:v>
                </c:pt>
                <c:pt idx="9">
                  <c:v>229.9848978831493</c:v>
                </c:pt>
                <c:pt idx="10">
                  <c:v>229.9848978831493</c:v>
                </c:pt>
                <c:pt idx="11">
                  <c:v>229.9848978831493</c:v>
                </c:pt>
                <c:pt idx="12">
                  <c:v>229.9848978831493</c:v>
                </c:pt>
                <c:pt idx="13">
                  <c:v>229.9848978831493</c:v>
                </c:pt>
                <c:pt idx="14">
                  <c:v>229.9848978831493</c:v>
                </c:pt>
                <c:pt idx="15">
                  <c:v>229.9848978831493</c:v>
                </c:pt>
                <c:pt idx="16">
                  <c:v>229.9848978831493</c:v>
                </c:pt>
                <c:pt idx="17">
                  <c:v>229.9848978831493</c:v>
                </c:pt>
                <c:pt idx="18">
                  <c:v>229.9848978831493</c:v>
                </c:pt>
              </c:numCache>
            </c:numRef>
          </c:xVal>
          <c:yVal>
            <c:numRef>
              <c:f>Sheet1!$V$2:$V$20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F61-4A70-BC91-712061D6E1C0}"/>
            </c:ext>
          </c:extLst>
        </c:ser>
        <c:ser>
          <c:idx val="2"/>
          <c:order val="3"/>
          <c:tx>
            <c:v>CL max=3, 76 seat, at 5000ft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Sheet1!$Z$2:$Z$20</c:f>
              <c:numCache>
                <c:formatCode>General</c:formatCode>
                <c:ptCount val="19"/>
                <c:pt idx="0">
                  <c:v>197.89491300203434</c:v>
                </c:pt>
                <c:pt idx="1">
                  <c:v>197.89491300203434</c:v>
                </c:pt>
                <c:pt idx="2">
                  <c:v>197.89491300203434</c:v>
                </c:pt>
                <c:pt idx="3">
                  <c:v>197.89491300203434</c:v>
                </c:pt>
                <c:pt idx="4">
                  <c:v>197.89491300203434</c:v>
                </c:pt>
                <c:pt idx="5">
                  <c:v>197.89491300203434</c:v>
                </c:pt>
                <c:pt idx="6">
                  <c:v>197.89491300203434</c:v>
                </c:pt>
                <c:pt idx="7">
                  <c:v>197.89491300203434</c:v>
                </c:pt>
                <c:pt idx="8">
                  <c:v>197.89491300203434</c:v>
                </c:pt>
                <c:pt idx="9">
                  <c:v>197.89491300203434</c:v>
                </c:pt>
                <c:pt idx="10">
                  <c:v>197.89491300203434</c:v>
                </c:pt>
                <c:pt idx="11">
                  <c:v>197.89491300203434</c:v>
                </c:pt>
                <c:pt idx="12">
                  <c:v>197.89491300203434</c:v>
                </c:pt>
                <c:pt idx="13">
                  <c:v>197.89491300203434</c:v>
                </c:pt>
                <c:pt idx="14">
                  <c:v>197.89491300203434</c:v>
                </c:pt>
                <c:pt idx="15">
                  <c:v>197.89491300203434</c:v>
                </c:pt>
                <c:pt idx="16">
                  <c:v>197.89491300203434</c:v>
                </c:pt>
                <c:pt idx="17">
                  <c:v>197.89491300203434</c:v>
                </c:pt>
                <c:pt idx="18">
                  <c:v>197.89491300203434</c:v>
                </c:pt>
              </c:numCache>
            </c:numRef>
          </c:xVal>
          <c:yVal>
            <c:numRef>
              <c:f>Sheet1!$V$2:$V$20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F61-4A70-BC91-712061D6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40239"/>
        <c:axId val="871643567"/>
      </c:scatterChart>
      <c:valAx>
        <c:axId val="8716402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</a:t>
                </a:r>
                <a:r>
                  <a:rPr lang="en-US" sz="1400" baseline="0"/>
                  <a:t>    lb/ft^2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3567"/>
        <c:crosses val="autoZero"/>
        <c:crossBetween val="midCat"/>
      </c:valAx>
      <c:valAx>
        <c:axId val="8716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</a:t>
                </a:r>
                <a:r>
                  <a:rPr lang="en-US" sz="1400" baseline="0"/>
                  <a:t>   lb/lb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7"/>
          <c:order val="0"/>
          <c:tx>
            <c:v>CL max=2.8, for 50 seat, at sea level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Sheet1!$P$2:$P$20</c:f>
              <c:numCache>
                <c:formatCode>General</c:formatCode>
                <c:ptCount val="19"/>
                <c:pt idx="0">
                  <c:v>137.3787014937042</c:v>
                </c:pt>
                <c:pt idx="1">
                  <c:v>137.3787014937042</c:v>
                </c:pt>
                <c:pt idx="2">
                  <c:v>137.3787014937042</c:v>
                </c:pt>
                <c:pt idx="3">
                  <c:v>137.3787014937042</c:v>
                </c:pt>
                <c:pt idx="4">
                  <c:v>137.3787014937042</c:v>
                </c:pt>
                <c:pt idx="5">
                  <c:v>137.3787014937042</c:v>
                </c:pt>
                <c:pt idx="6">
                  <c:v>137.3787014937042</c:v>
                </c:pt>
                <c:pt idx="7">
                  <c:v>137.3787014937042</c:v>
                </c:pt>
                <c:pt idx="8">
                  <c:v>137.3787014937042</c:v>
                </c:pt>
                <c:pt idx="9">
                  <c:v>137.3787014937042</c:v>
                </c:pt>
                <c:pt idx="10">
                  <c:v>137.3787014937042</c:v>
                </c:pt>
                <c:pt idx="11">
                  <c:v>137.3787014937042</c:v>
                </c:pt>
                <c:pt idx="12">
                  <c:v>137.3787014937042</c:v>
                </c:pt>
                <c:pt idx="13">
                  <c:v>137.3787014937042</c:v>
                </c:pt>
                <c:pt idx="14">
                  <c:v>137.3787014937042</c:v>
                </c:pt>
                <c:pt idx="15">
                  <c:v>137.3787014937042</c:v>
                </c:pt>
                <c:pt idx="16">
                  <c:v>137.3787014937042</c:v>
                </c:pt>
                <c:pt idx="17">
                  <c:v>137.3787014937042</c:v>
                </c:pt>
                <c:pt idx="18">
                  <c:v>137.3787014937042</c:v>
                </c:pt>
              </c:numCache>
            </c:numRef>
          </c:xVal>
          <c:yVal>
            <c:numRef>
              <c:f>Sheet1!$N$2:$N$20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8-4DAE-81B4-4E7F97E539E7}"/>
            </c:ext>
          </c:extLst>
        </c:ser>
        <c:ser>
          <c:idx val="0"/>
          <c:order val="1"/>
          <c:tx>
            <c:v>CL max=2.8, for 50 seat, at 5000ft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Sheet1!$S$2:$S$20</c:f>
              <c:numCache>
                <c:formatCode>General</c:formatCode>
                <c:ptCount val="19"/>
                <c:pt idx="0">
                  <c:v>118.21013653793032</c:v>
                </c:pt>
                <c:pt idx="1">
                  <c:v>118.21013653793032</c:v>
                </c:pt>
                <c:pt idx="2">
                  <c:v>118.21013653793032</c:v>
                </c:pt>
                <c:pt idx="3">
                  <c:v>118.21013653793032</c:v>
                </c:pt>
                <c:pt idx="4">
                  <c:v>118.21013653793032</c:v>
                </c:pt>
                <c:pt idx="5">
                  <c:v>118.21013653793032</c:v>
                </c:pt>
                <c:pt idx="6">
                  <c:v>118.21013653793032</c:v>
                </c:pt>
                <c:pt idx="7">
                  <c:v>118.21013653793032</c:v>
                </c:pt>
                <c:pt idx="8">
                  <c:v>118.21013653793032</c:v>
                </c:pt>
                <c:pt idx="9">
                  <c:v>118.21013653793032</c:v>
                </c:pt>
                <c:pt idx="10">
                  <c:v>118.21013653793032</c:v>
                </c:pt>
                <c:pt idx="11">
                  <c:v>118.21013653793032</c:v>
                </c:pt>
                <c:pt idx="12">
                  <c:v>118.21013653793032</c:v>
                </c:pt>
                <c:pt idx="13">
                  <c:v>118.21013653793032</c:v>
                </c:pt>
                <c:pt idx="14">
                  <c:v>118.21013653793032</c:v>
                </c:pt>
                <c:pt idx="15">
                  <c:v>118.21013653793032</c:v>
                </c:pt>
                <c:pt idx="16">
                  <c:v>118.21013653793032</c:v>
                </c:pt>
                <c:pt idx="17">
                  <c:v>118.21013653793032</c:v>
                </c:pt>
                <c:pt idx="18">
                  <c:v>118.21013653793032</c:v>
                </c:pt>
              </c:numCache>
            </c:numRef>
          </c:xVal>
          <c:yVal>
            <c:numRef>
              <c:f>Sheet1!$N$2:$N$20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8-4DAE-81B4-4E7F97E539E7}"/>
            </c:ext>
          </c:extLst>
        </c:ser>
        <c:ser>
          <c:idx val="1"/>
          <c:order val="2"/>
          <c:tx>
            <c:v>CL max=2.8, for 76 seat,at seat level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Sheet1!$X$2:$X$20</c:f>
              <c:numCache>
                <c:formatCode>General</c:formatCode>
                <c:ptCount val="19"/>
                <c:pt idx="0">
                  <c:v>214.65257135760595</c:v>
                </c:pt>
                <c:pt idx="1">
                  <c:v>214.65257135760595</c:v>
                </c:pt>
                <c:pt idx="2">
                  <c:v>214.65257135760595</c:v>
                </c:pt>
                <c:pt idx="3">
                  <c:v>214.65257135760595</c:v>
                </c:pt>
                <c:pt idx="4">
                  <c:v>214.65257135760595</c:v>
                </c:pt>
                <c:pt idx="5">
                  <c:v>214.65257135760595</c:v>
                </c:pt>
                <c:pt idx="6">
                  <c:v>214.65257135760595</c:v>
                </c:pt>
                <c:pt idx="7">
                  <c:v>214.65257135760595</c:v>
                </c:pt>
                <c:pt idx="8">
                  <c:v>214.65257135760595</c:v>
                </c:pt>
                <c:pt idx="9">
                  <c:v>214.65257135760595</c:v>
                </c:pt>
                <c:pt idx="10">
                  <c:v>214.65257135760595</c:v>
                </c:pt>
                <c:pt idx="11">
                  <c:v>214.65257135760595</c:v>
                </c:pt>
                <c:pt idx="12">
                  <c:v>214.65257135760595</c:v>
                </c:pt>
                <c:pt idx="13">
                  <c:v>214.65257135760595</c:v>
                </c:pt>
                <c:pt idx="14">
                  <c:v>214.65257135760595</c:v>
                </c:pt>
                <c:pt idx="15">
                  <c:v>214.65257135760595</c:v>
                </c:pt>
                <c:pt idx="16">
                  <c:v>214.65257135760595</c:v>
                </c:pt>
                <c:pt idx="17">
                  <c:v>214.65257135760595</c:v>
                </c:pt>
                <c:pt idx="18">
                  <c:v>214.65257135760595</c:v>
                </c:pt>
              </c:numCache>
            </c:numRef>
          </c:xVal>
          <c:yVal>
            <c:numRef>
              <c:f>Sheet1!$V$2:$V$20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8-4DAE-81B4-4E7F97E539E7}"/>
            </c:ext>
          </c:extLst>
        </c:ser>
        <c:ser>
          <c:idx val="2"/>
          <c:order val="3"/>
          <c:tx>
            <c:v>CL max=2.8, 76 seat, at 5000ft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Sheet1!$AA$2:$AA$20</c:f>
              <c:numCache>
                <c:formatCode>General</c:formatCode>
                <c:ptCount val="19"/>
                <c:pt idx="0">
                  <c:v>184.70191880189873</c:v>
                </c:pt>
                <c:pt idx="1">
                  <c:v>184.70191880189873</c:v>
                </c:pt>
                <c:pt idx="2">
                  <c:v>184.70191880189873</c:v>
                </c:pt>
                <c:pt idx="3">
                  <c:v>184.70191880189873</c:v>
                </c:pt>
                <c:pt idx="4">
                  <c:v>184.70191880189873</c:v>
                </c:pt>
                <c:pt idx="5">
                  <c:v>184.70191880189873</c:v>
                </c:pt>
                <c:pt idx="6">
                  <c:v>184.70191880189873</c:v>
                </c:pt>
                <c:pt idx="7">
                  <c:v>184.70191880189873</c:v>
                </c:pt>
                <c:pt idx="8">
                  <c:v>184.70191880189873</c:v>
                </c:pt>
                <c:pt idx="9">
                  <c:v>184.70191880189873</c:v>
                </c:pt>
                <c:pt idx="10">
                  <c:v>184.70191880189873</c:v>
                </c:pt>
                <c:pt idx="11">
                  <c:v>184.70191880189873</c:v>
                </c:pt>
                <c:pt idx="12">
                  <c:v>184.70191880189873</c:v>
                </c:pt>
                <c:pt idx="13">
                  <c:v>184.70191880189873</c:v>
                </c:pt>
                <c:pt idx="14">
                  <c:v>184.70191880189873</c:v>
                </c:pt>
                <c:pt idx="15">
                  <c:v>184.70191880189873</c:v>
                </c:pt>
                <c:pt idx="16">
                  <c:v>184.70191880189873</c:v>
                </c:pt>
                <c:pt idx="17">
                  <c:v>184.70191880189873</c:v>
                </c:pt>
                <c:pt idx="18">
                  <c:v>184.70191880189873</c:v>
                </c:pt>
              </c:numCache>
            </c:numRef>
          </c:xVal>
          <c:yVal>
            <c:numRef>
              <c:f>Sheet1!$V$2:$V$20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F8-4DAE-81B4-4E7F97E5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40239"/>
        <c:axId val="871643567"/>
      </c:scatterChart>
      <c:valAx>
        <c:axId val="8716402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</a:t>
                </a:r>
                <a:r>
                  <a:rPr lang="en-US" sz="1400" baseline="0"/>
                  <a:t>    lb/ft^2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3567"/>
        <c:crosses val="autoZero"/>
        <c:crossBetween val="midCat"/>
      </c:valAx>
      <c:valAx>
        <c:axId val="8716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</a:t>
                </a:r>
                <a:r>
                  <a:rPr lang="en-US" sz="1400" baseline="0"/>
                  <a:t>   lb/lb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7"/>
          <c:order val="0"/>
          <c:tx>
            <c:v>CL max=2.7, for 50 seat, at sea level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Sheet1!$Q$2:$Q$20</c:f>
              <c:numCache>
                <c:formatCode>General</c:formatCode>
                <c:ptCount val="19"/>
                <c:pt idx="0">
                  <c:v>132.47231929750049</c:v>
                </c:pt>
                <c:pt idx="1">
                  <c:v>132.47231929750049</c:v>
                </c:pt>
                <c:pt idx="2">
                  <c:v>132.47231929750049</c:v>
                </c:pt>
                <c:pt idx="3">
                  <c:v>132.47231929750049</c:v>
                </c:pt>
                <c:pt idx="4">
                  <c:v>132.47231929750049</c:v>
                </c:pt>
                <c:pt idx="5">
                  <c:v>132.47231929750049</c:v>
                </c:pt>
                <c:pt idx="6">
                  <c:v>132.47231929750049</c:v>
                </c:pt>
                <c:pt idx="7">
                  <c:v>132.47231929750049</c:v>
                </c:pt>
                <c:pt idx="8">
                  <c:v>132.47231929750049</c:v>
                </c:pt>
                <c:pt idx="9">
                  <c:v>132.47231929750049</c:v>
                </c:pt>
                <c:pt idx="10">
                  <c:v>132.47231929750049</c:v>
                </c:pt>
                <c:pt idx="11">
                  <c:v>132.47231929750049</c:v>
                </c:pt>
                <c:pt idx="12">
                  <c:v>132.47231929750049</c:v>
                </c:pt>
                <c:pt idx="13">
                  <c:v>132.47231929750049</c:v>
                </c:pt>
                <c:pt idx="14">
                  <c:v>132.47231929750049</c:v>
                </c:pt>
                <c:pt idx="15">
                  <c:v>132.47231929750049</c:v>
                </c:pt>
                <c:pt idx="16">
                  <c:v>132.47231929750049</c:v>
                </c:pt>
                <c:pt idx="17">
                  <c:v>132.47231929750049</c:v>
                </c:pt>
                <c:pt idx="18">
                  <c:v>132.47231929750049</c:v>
                </c:pt>
              </c:numCache>
            </c:numRef>
          </c:xVal>
          <c:yVal>
            <c:numRef>
              <c:f>Sheet1!$N$2:$N$20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DF-45D1-9D00-4375852FA935}"/>
            </c:ext>
          </c:extLst>
        </c:ser>
        <c:ser>
          <c:idx val="0"/>
          <c:order val="1"/>
          <c:tx>
            <c:v>CL max=2.7, for 50 seat, at 5000ft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Sheet1!$T$2:$T$20</c:f>
              <c:numCache>
                <c:formatCode>General</c:formatCode>
                <c:ptCount val="19"/>
                <c:pt idx="0">
                  <c:v>113.98834594728997</c:v>
                </c:pt>
                <c:pt idx="1">
                  <c:v>113.98834594728997</c:v>
                </c:pt>
                <c:pt idx="2">
                  <c:v>113.98834594728997</c:v>
                </c:pt>
                <c:pt idx="3">
                  <c:v>113.98834594728997</c:v>
                </c:pt>
                <c:pt idx="4">
                  <c:v>113.98834594728997</c:v>
                </c:pt>
                <c:pt idx="5">
                  <c:v>113.98834594728997</c:v>
                </c:pt>
                <c:pt idx="6">
                  <c:v>113.98834594728997</c:v>
                </c:pt>
                <c:pt idx="7">
                  <c:v>113.98834594728997</c:v>
                </c:pt>
                <c:pt idx="8">
                  <c:v>113.98834594728997</c:v>
                </c:pt>
                <c:pt idx="9">
                  <c:v>113.98834594728997</c:v>
                </c:pt>
                <c:pt idx="10">
                  <c:v>113.98834594728997</c:v>
                </c:pt>
                <c:pt idx="11">
                  <c:v>113.98834594728997</c:v>
                </c:pt>
                <c:pt idx="12">
                  <c:v>113.98834594728997</c:v>
                </c:pt>
                <c:pt idx="13">
                  <c:v>113.98834594728997</c:v>
                </c:pt>
                <c:pt idx="14">
                  <c:v>113.98834594728997</c:v>
                </c:pt>
                <c:pt idx="15">
                  <c:v>113.98834594728997</c:v>
                </c:pt>
                <c:pt idx="16">
                  <c:v>113.98834594728997</c:v>
                </c:pt>
                <c:pt idx="17">
                  <c:v>113.98834594728997</c:v>
                </c:pt>
                <c:pt idx="18">
                  <c:v>113.98834594728997</c:v>
                </c:pt>
              </c:numCache>
            </c:numRef>
          </c:xVal>
          <c:yVal>
            <c:numRef>
              <c:f>Sheet1!$N$2:$N$20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DF-45D1-9D00-4375852FA935}"/>
            </c:ext>
          </c:extLst>
        </c:ser>
        <c:ser>
          <c:idx val="1"/>
          <c:order val="2"/>
          <c:tx>
            <c:v>CL max=2.7, for 76 seat,at seat level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Sheet1!$Y$2:$Y$20</c:f>
              <c:numCache>
                <c:formatCode>General</c:formatCode>
                <c:ptCount val="19"/>
                <c:pt idx="0">
                  <c:v>206.98640809483433</c:v>
                </c:pt>
                <c:pt idx="1">
                  <c:v>206.98640809483433</c:v>
                </c:pt>
                <c:pt idx="2">
                  <c:v>206.98640809483433</c:v>
                </c:pt>
                <c:pt idx="3">
                  <c:v>206.98640809483433</c:v>
                </c:pt>
                <c:pt idx="4">
                  <c:v>206.98640809483433</c:v>
                </c:pt>
                <c:pt idx="5">
                  <c:v>206.98640809483433</c:v>
                </c:pt>
                <c:pt idx="6">
                  <c:v>206.98640809483433</c:v>
                </c:pt>
                <c:pt idx="7">
                  <c:v>206.98640809483433</c:v>
                </c:pt>
                <c:pt idx="8">
                  <c:v>206.98640809483433</c:v>
                </c:pt>
                <c:pt idx="9">
                  <c:v>206.98640809483433</c:v>
                </c:pt>
                <c:pt idx="10">
                  <c:v>206.98640809483433</c:v>
                </c:pt>
                <c:pt idx="11">
                  <c:v>206.98640809483433</c:v>
                </c:pt>
                <c:pt idx="12">
                  <c:v>206.98640809483433</c:v>
                </c:pt>
                <c:pt idx="13">
                  <c:v>206.98640809483433</c:v>
                </c:pt>
                <c:pt idx="14">
                  <c:v>206.98640809483433</c:v>
                </c:pt>
                <c:pt idx="15">
                  <c:v>206.98640809483433</c:v>
                </c:pt>
                <c:pt idx="16">
                  <c:v>206.98640809483433</c:v>
                </c:pt>
                <c:pt idx="17">
                  <c:v>206.98640809483433</c:v>
                </c:pt>
                <c:pt idx="18">
                  <c:v>206.98640809483433</c:v>
                </c:pt>
              </c:numCache>
            </c:numRef>
          </c:xVal>
          <c:yVal>
            <c:numRef>
              <c:f>Sheet1!$V$2:$V$20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DF-45D1-9D00-4375852FA935}"/>
            </c:ext>
          </c:extLst>
        </c:ser>
        <c:ser>
          <c:idx val="2"/>
          <c:order val="3"/>
          <c:tx>
            <c:v>CL max=2.7, 76 seat, at 5000ft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Sheet1!$AB$2:$AB$20</c:f>
              <c:numCache>
                <c:formatCode>General</c:formatCode>
                <c:ptCount val="19"/>
                <c:pt idx="0">
                  <c:v>178.10542170183092</c:v>
                </c:pt>
                <c:pt idx="1">
                  <c:v>178.10542170183092</c:v>
                </c:pt>
                <c:pt idx="2">
                  <c:v>178.10542170183092</c:v>
                </c:pt>
                <c:pt idx="3">
                  <c:v>178.10542170183092</c:v>
                </c:pt>
                <c:pt idx="4">
                  <c:v>178.10542170183092</c:v>
                </c:pt>
                <c:pt idx="5">
                  <c:v>178.10542170183092</c:v>
                </c:pt>
                <c:pt idx="6">
                  <c:v>178.10542170183092</c:v>
                </c:pt>
                <c:pt idx="7">
                  <c:v>178.10542170183092</c:v>
                </c:pt>
                <c:pt idx="8">
                  <c:v>178.10542170183092</c:v>
                </c:pt>
                <c:pt idx="9">
                  <c:v>178.10542170183092</c:v>
                </c:pt>
                <c:pt idx="10">
                  <c:v>178.10542170183092</c:v>
                </c:pt>
                <c:pt idx="11">
                  <c:v>178.10542170183092</c:v>
                </c:pt>
                <c:pt idx="12">
                  <c:v>178.10542170183092</c:v>
                </c:pt>
                <c:pt idx="13">
                  <c:v>178.10542170183092</c:v>
                </c:pt>
                <c:pt idx="14">
                  <c:v>178.10542170183092</c:v>
                </c:pt>
                <c:pt idx="15">
                  <c:v>178.10542170183092</c:v>
                </c:pt>
                <c:pt idx="16">
                  <c:v>178.10542170183092</c:v>
                </c:pt>
                <c:pt idx="17">
                  <c:v>178.10542170183092</c:v>
                </c:pt>
                <c:pt idx="18">
                  <c:v>178.10542170183092</c:v>
                </c:pt>
              </c:numCache>
            </c:numRef>
          </c:xVal>
          <c:yVal>
            <c:numRef>
              <c:f>Sheet1!$V$2:$V$20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DF-45D1-9D00-4375852F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40239"/>
        <c:axId val="871643567"/>
      </c:scatterChart>
      <c:valAx>
        <c:axId val="8716402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</a:t>
                </a:r>
                <a:r>
                  <a:rPr lang="en-US" sz="1400" baseline="0"/>
                  <a:t>    lb/ft^2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3567"/>
        <c:crosses val="autoZero"/>
        <c:crossBetween val="midCat"/>
      </c:valAx>
      <c:valAx>
        <c:axId val="8716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</a:t>
                </a:r>
                <a:r>
                  <a:rPr lang="en-US" sz="1400" baseline="0"/>
                  <a:t>   lb/lb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39</xdr:row>
      <xdr:rowOff>106680</xdr:rowOff>
    </xdr:from>
    <xdr:to>
      <xdr:col>19</xdr:col>
      <xdr:colOff>815340</xdr:colOff>
      <xdr:row>61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531629</xdr:colOff>
      <xdr:row>39</xdr:row>
      <xdr:rowOff>177210</xdr:rowOff>
    </xdr:from>
    <xdr:to>
      <xdr:col>27</xdr:col>
      <xdr:colOff>826859</xdr:colOff>
      <xdr:row>61</xdr:row>
      <xdr:rowOff>85770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327837</xdr:colOff>
      <xdr:row>17</xdr:row>
      <xdr:rowOff>115187</xdr:rowOff>
    </xdr:from>
    <xdr:to>
      <xdr:col>39</xdr:col>
      <xdr:colOff>312951</xdr:colOff>
      <xdr:row>39</xdr:row>
      <xdr:rowOff>23747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B60"/>
  <sheetViews>
    <sheetView tabSelected="1" topLeftCell="G1" zoomScale="92" zoomScaleNormal="90" workbookViewId="0">
      <selection activeCell="N1" sqref="N1:AB1"/>
    </sheetView>
  </sheetViews>
  <sheetFormatPr defaultRowHeight="15" x14ac:dyDescent="0.25"/>
  <cols>
    <col min="3" max="3" width="28.42578125" bestFit="1" customWidth="1"/>
    <col min="4" max="4" width="20.85546875" customWidth="1"/>
    <col min="5" max="5" width="10.5703125" customWidth="1"/>
    <col min="6" max="6" width="14.140625" bestFit="1" customWidth="1"/>
    <col min="7" max="7" width="35.28515625" bestFit="1" customWidth="1"/>
    <col min="9" max="9" width="12" customWidth="1"/>
    <col min="12" max="12" width="14.7109375" bestFit="1" customWidth="1"/>
    <col min="15" max="15" width="10.7109375" bestFit="1" customWidth="1"/>
    <col min="16" max="16" width="13.42578125" bestFit="1" customWidth="1"/>
    <col min="17" max="17" width="10.7109375" bestFit="1" customWidth="1"/>
    <col min="18" max="18" width="17.7109375" bestFit="1" customWidth="1"/>
    <col min="19" max="19" width="20.42578125" bestFit="1" customWidth="1"/>
    <col min="20" max="20" width="17.42578125" bestFit="1" customWidth="1"/>
    <col min="23" max="23" width="12" bestFit="1" customWidth="1"/>
    <col min="24" max="24" width="13.42578125" bestFit="1" customWidth="1"/>
    <col min="25" max="25" width="12" bestFit="1" customWidth="1"/>
    <col min="26" max="26" width="17.7109375" bestFit="1" customWidth="1"/>
    <col min="27" max="27" width="20.42578125" bestFit="1" customWidth="1"/>
    <col min="28" max="28" width="17.42578125" bestFit="1" customWidth="1"/>
  </cols>
  <sheetData>
    <row r="1" spans="3:28" x14ac:dyDescent="0.25">
      <c r="N1" s="19" t="s">
        <v>27</v>
      </c>
      <c r="O1" s="19" t="s">
        <v>28</v>
      </c>
      <c r="P1" s="19" t="s">
        <v>29</v>
      </c>
      <c r="Q1" s="19" t="s">
        <v>30</v>
      </c>
      <c r="R1" s="19" t="s">
        <v>31</v>
      </c>
      <c r="S1" s="19" t="s">
        <v>32</v>
      </c>
      <c r="T1" s="19" t="s">
        <v>33</v>
      </c>
      <c r="U1" s="20"/>
      <c r="V1" s="21" t="s">
        <v>27</v>
      </c>
      <c r="W1" s="21" t="s">
        <v>34</v>
      </c>
      <c r="X1" s="21" t="s">
        <v>35</v>
      </c>
      <c r="Y1" s="21" t="s">
        <v>36</v>
      </c>
      <c r="Z1" s="21" t="s">
        <v>37</v>
      </c>
      <c r="AA1" s="21" t="s">
        <v>38</v>
      </c>
      <c r="AB1" s="21" t="s">
        <v>39</v>
      </c>
    </row>
    <row r="2" spans="3:28" x14ac:dyDescent="0.25">
      <c r="N2" s="2">
        <v>0</v>
      </c>
      <c r="O2" s="2">
        <f>E26</f>
        <v>147.19146588611167</v>
      </c>
      <c r="P2" s="2">
        <f>E29</f>
        <v>137.3787014937042</v>
      </c>
      <c r="Q2" s="2">
        <f>E32</f>
        <v>132.47231929750049</v>
      </c>
      <c r="R2" s="2">
        <f>I26</f>
        <v>126.65371771921107</v>
      </c>
      <c r="S2" s="2">
        <f>I29</f>
        <v>118.21013653793032</v>
      </c>
      <c r="T2" s="2">
        <f>I32</f>
        <v>113.98834594728997</v>
      </c>
      <c r="V2" s="15">
        <v>0</v>
      </c>
      <c r="W2" s="15">
        <f>E35</f>
        <v>229.9848978831493</v>
      </c>
      <c r="X2" s="15">
        <f>E38</f>
        <v>214.65257135760595</v>
      </c>
      <c r="Y2" s="15">
        <f>E41</f>
        <v>206.98640809483433</v>
      </c>
      <c r="Z2" s="15">
        <f>I35</f>
        <v>197.89491300203434</v>
      </c>
      <c r="AA2" s="15">
        <f>I38</f>
        <v>184.70191880189873</v>
      </c>
      <c r="AB2" s="15">
        <f>I41</f>
        <v>178.10542170183092</v>
      </c>
    </row>
    <row r="3" spans="3:28" x14ac:dyDescent="0.25">
      <c r="N3" s="2">
        <v>0.05</v>
      </c>
      <c r="O3" s="2">
        <f>O2</f>
        <v>147.19146588611167</v>
      </c>
      <c r="P3" s="2">
        <f t="shared" ref="P3:T3" si="0">P2</f>
        <v>137.3787014937042</v>
      </c>
      <c r="Q3" s="2">
        <f t="shared" si="0"/>
        <v>132.47231929750049</v>
      </c>
      <c r="R3" s="2">
        <f t="shared" si="0"/>
        <v>126.65371771921107</v>
      </c>
      <c r="S3" s="2">
        <f t="shared" si="0"/>
        <v>118.21013653793032</v>
      </c>
      <c r="T3" s="2">
        <f t="shared" si="0"/>
        <v>113.98834594728997</v>
      </c>
      <c r="V3" s="15">
        <v>0.05</v>
      </c>
      <c r="W3" s="15">
        <f>W2</f>
        <v>229.9848978831493</v>
      </c>
      <c r="X3" s="15">
        <f t="shared" ref="X3:AB3" si="1">X2</f>
        <v>214.65257135760595</v>
      </c>
      <c r="Y3" s="15">
        <f t="shared" si="1"/>
        <v>206.98640809483433</v>
      </c>
      <c r="Z3" s="15">
        <f t="shared" si="1"/>
        <v>197.89491300203434</v>
      </c>
      <c r="AA3" s="15">
        <f t="shared" si="1"/>
        <v>184.70191880189873</v>
      </c>
      <c r="AB3" s="15">
        <f t="shared" si="1"/>
        <v>178.10542170183092</v>
      </c>
    </row>
    <row r="4" spans="3:28" x14ac:dyDescent="0.25">
      <c r="N4" s="2">
        <v>0.1</v>
      </c>
      <c r="O4" s="2">
        <f t="shared" ref="O4:O20" si="2">O3</f>
        <v>147.19146588611167</v>
      </c>
      <c r="P4" s="2">
        <f t="shared" ref="P4:P20" si="3">P3</f>
        <v>137.3787014937042</v>
      </c>
      <c r="Q4" s="2">
        <f t="shared" ref="Q4:Q20" si="4">Q3</f>
        <v>132.47231929750049</v>
      </c>
      <c r="R4" s="2">
        <f t="shared" ref="R4:R20" si="5">R3</f>
        <v>126.65371771921107</v>
      </c>
      <c r="S4" s="2">
        <f t="shared" ref="S4:S20" si="6">S3</f>
        <v>118.21013653793032</v>
      </c>
      <c r="T4" s="2">
        <f t="shared" ref="T4:T20" si="7">T3</f>
        <v>113.98834594728997</v>
      </c>
      <c r="V4" s="15">
        <v>0.1</v>
      </c>
      <c r="W4" s="15">
        <f t="shared" ref="W4:W20" si="8">W3</f>
        <v>229.9848978831493</v>
      </c>
      <c r="X4" s="15">
        <f t="shared" ref="X4:X20" si="9">X3</f>
        <v>214.65257135760595</v>
      </c>
      <c r="Y4" s="15">
        <f t="shared" ref="Y4:Y20" si="10">Y3</f>
        <v>206.98640809483433</v>
      </c>
      <c r="Z4" s="15">
        <f t="shared" ref="Z4:Z20" si="11">Z3</f>
        <v>197.89491300203434</v>
      </c>
      <c r="AA4" s="15">
        <f t="shared" ref="AA4:AA20" si="12">AA3</f>
        <v>184.70191880189873</v>
      </c>
      <c r="AB4" s="15">
        <f t="shared" ref="AB4:AB20" si="13">AB3</f>
        <v>178.10542170183092</v>
      </c>
    </row>
    <row r="5" spans="3:28" x14ac:dyDescent="0.25">
      <c r="N5" s="2">
        <v>0.15</v>
      </c>
      <c r="O5" s="2">
        <f t="shared" si="2"/>
        <v>147.19146588611167</v>
      </c>
      <c r="P5" s="2">
        <f t="shared" si="3"/>
        <v>137.3787014937042</v>
      </c>
      <c r="Q5" s="2">
        <f t="shared" si="4"/>
        <v>132.47231929750049</v>
      </c>
      <c r="R5" s="2">
        <f t="shared" si="5"/>
        <v>126.65371771921107</v>
      </c>
      <c r="S5" s="2">
        <f t="shared" si="6"/>
        <v>118.21013653793032</v>
      </c>
      <c r="T5" s="2">
        <f t="shared" si="7"/>
        <v>113.98834594728997</v>
      </c>
      <c r="V5" s="15">
        <v>0.15</v>
      </c>
      <c r="W5" s="15">
        <f t="shared" si="8"/>
        <v>229.9848978831493</v>
      </c>
      <c r="X5" s="15">
        <f t="shared" si="9"/>
        <v>214.65257135760595</v>
      </c>
      <c r="Y5" s="15">
        <f t="shared" si="10"/>
        <v>206.98640809483433</v>
      </c>
      <c r="Z5" s="15">
        <f t="shared" si="11"/>
        <v>197.89491300203434</v>
      </c>
      <c r="AA5" s="15">
        <f t="shared" si="12"/>
        <v>184.70191880189873</v>
      </c>
      <c r="AB5" s="15">
        <f t="shared" si="13"/>
        <v>178.10542170183092</v>
      </c>
    </row>
    <row r="6" spans="3:28" x14ac:dyDescent="0.25">
      <c r="N6" s="2">
        <v>0.2</v>
      </c>
      <c r="O6" s="2">
        <f t="shared" si="2"/>
        <v>147.19146588611167</v>
      </c>
      <c r="P6" s="2">
        <f t="shared" si="3"/>
        <v>137.3787014937042</v>
      </c>
      <c r="Q6" s="2">
        <f t="shared" si="4"/>
        <v>132.47231929750049</v>
      </c>
      <c r="R6" s="2">
        <f t="shared" si="5"/>
        <v>126.65371771921107</v>
      </c>
      <c r="S6" s="2">
        <f t="shared" si="6"/>
        <v>118.21013653793032</v>
      </c>
      <c r="T6" s="2">
        <f t="shared" si="7"/>
        <v>113.98834594728997</v>
      </c>
      <c r="V6" s="15">
        <v>0.2</v>
      </c>
      <c r="W6" s="15">
        <f t="shared" si="8"/>
        <v>229.9848978831493</v>
      </c>
      <c r="X6" s="15">
        <f t="shared" si="9"/>
        <v>214.65257135760595</v>
      </c>
      <c r="Y6" s="15">
        <f t="shared" si="10"/>
        <v>206.98640809483433</v>
      </c>
      <c r="Z6" s="15">
        <f t="shared" si="11"/>
        <v>197.89491300203434</v>
      </c>
      <c r="AA6" s="15">
        <f t="shared" si="12"/>
        <v>184.70191880189873</v>
      </c>
      <c r="AB6" s="15">
        <f t="shared" si="13"/>
        <v>178.10542170183092</v>
      </c>
    </row>
    <row r="7" spans="3:28" x14ac:dyDescent="0.25">
      <c r="D7" s="18" t="s">
        <v>4</v>
      </c>
      <c r="E7" s="18"/>
      <c r="N7" s="2">
        <v>0.25</v>
      </c>
      <c r="O7" s="2">
        <f t="shared" si="2"/>
        <v>147.19146588611167</v>
      </c>
      <c r="P7" s="2">
        <f t="shared" si="3"/>
        <v>137.3787014937042</v>
      </c>
      <c r="Q7" s="2">
        <f t="shared" si="4"/>
        <v>132.47231929750049</v>
      </c>
      <c r="R7" s="2">
        <f t="shared" si="5"/>
        <v>126.65371771921107</v>
      </c>
      <c r="S7" s="2">
        <f t="shared" si="6"/>
        <v>118.21013653793032</v>
      </c>
      <c r="T7" s="2">
        <f t="shared" si="7"/>
        <v>113.98834594728997</v>
      </c>
      <c r="V7" s="15">
        <v>0.25</v>
      </c>
      <c r="W7" s="15">
        <f t="shared" si="8"/>
        <v>229.9848978831493</v>
      </c>
      <c r="X7" s="15">
        <f t="shared" si="9"/>
        <v>214.65257135760595</v>
      </c>
      <c r="Y7" s="15">
        <f t="shared" si="10"/>
        <v>206.98640809483433</v>
      </c>
      <c r="Z7" s="15">
        <f t="shared" si="11"/>
        <v>197.89491300203434</v>
      </c>
      <c r="AA7" s="15">
        <f t="shared" si="12"/>
        <v>184.70191880189873</v>
      </c>
      <c r="AB7" s="15">
        <f t="shared" si="13"/>
        <v>178.10542170183092</v>
      </c>
    </row>
    <row r="8" spans="3:28" x14ac:dyDescent="0.25">
      <c r="N8" s="2">
        <v>0.3</v>
      </c>
      <c r="O8" s="2">
        <f t="shared" si="2"/>
        <v>147.19146588611167</v>
      </c>
      <c r="P8" s="2">
        <f t="shared" si="3"/>
        <v>137.3787014937042</v>
      </c>
      <c r="Q8" s="2">
        <f t="shared" si="4"/>
        <v>132.47231929750049</v>
      </c>
      <c r="R8" s="2">
        <f t="shared" si="5"/>
        <v>126.65371771921107</v>
      </c>
      <c r="S8" s="2">
        <f t="shared" si="6"/>
        <v>118.21013653793032</v>
      </c>
      <c r="T8" s="2">
        <f t="shared" si="7"/>
        <v>113.98834594728997</v>
      </c>
      <c r="V8" s="15">
        <v>0.3</v>
      </c>
      <c r="W8" s="15">
        <f t="shared" si="8"/>
        <v>229.9848978831493</v>
      </c>
      <c r="X8" s="15">
        <f t="shared" si="9"/>
        <v>214.65257135760595</v>
      </c>
      <c r="Y8" s="15">
        <f t="shared" si="10"/>
        <v>206.98640809483433</v>
      </c>
      <c r="Z8" s="15">
        <f t="shared" si="11"/>
        <v>197.89491300203434</v>
      </c>
      <c r="AA8" s="15">
        <f t="shared" si="12"/>
        <v>184.70191880189873</v>
      </c>
      <c r="AB8" s="15">
        <f t="shared" si="13"/>
        <v>178.10542170183092</v>
      </c>
    </row>
    <row r="9" spans="3:28" x14ac:dyDescent="0.25">
      <c r="C9" s="2" t="s">
        <v>2</v>
      </c>
      <c r="D9" s="2" t="s">
        <v>0</v>
      </c>
      <c r="E9" s="2">
        <f>42.549/48.5</f>
        <v>0.87729896907216498</v>
      </c>
      <c r="F9" s="2" t="s">
        <v>5</v>
      </c>
      <c r="N9" s="2">
        <v>0.35</v>
      </c>
      <c r="O9" s="2">
        <f t="shared" si="2"/>
        <v>147.19146588611167</v>
      </c>
      <c r="P9" s="2">
        <f t="shared" si="3"/>
        <v>137.3787014937042</v>
      </c>
      <c r="Q9" s="2">
        <f t="shared" si="4"/>
        <v>132.47231929750049</v>
      </c>
      <c r="R9" s="2">
        <f t="shared" si="5"/>
        <v>126.65371771921107</v>
      </c>
      <c r="S9" s="2">
        <f t="shared" si="6"/>
        <v>118.21013653793032</v>
      </c>
      <c r="T9" s="2">
        <f t="shared" si="7"/>
        <v>113.98834594728997</v>
      </c>
      <c r="V9" s="15">
        <v>0.35</v>
      </c>
      <c r="W9" s="15">
        <f t="shared" si="8"/>
        <v>229.9848978831493</v>
      </c>
      <c r="X9" s="15">
        <f t="shared" si="9"/>
        <v>214.65257135760595</v>
      </c>
      <c r="Y9" s="15">
        <f t="shared" si="10"/>
        <v>206.98640809483433</v>
      </c>
      <c r="Z9" s="15">
        <f t="shared" si="11"/>
        <v>197.89491300203434</v>
      </c>
      <c r="AA9" s="15">
        <f t="shared" si="12"/>
        <v>184.70191880189873</v>
      </c>
      <c r="AB9" s="15">
        <f t="shared" si="13"/>
        <v>178.10542170183092</v>
      </c>
    </row>
    <row r="10" spans="3:28" x14ac:dyDescent="0.25">
      <c r="C10" s="2" t="s">
        <v>1</v>
      </c>
      <c r="D10" s="2" t="s">
        <v>0</v>
      </c>
      <c r="E10" s="2">
        <f>74957/89000</f>
        <v>0.84221348314606737</v>
      </c>
      <c r="F10" s="2" t="s">
        <v>5</v>
      </c>
      <c r="N10" s="2">
        <v>0.4</v>
      </c>
      <c r="O10" s="2">
        <f t="shared" si="2"/>
        <v>147.19146588611167</v>
      </c>
      <c r="P10" s="2">
        <f t="shared" si="3"/>
        <v>137.3787014937042</v>
      </c>
      <c r="Q10" s="2">
        <f t="shared" si="4"/>
        <v>132.47231929750049</v>
      </c>
      <c r="R10" s="2">
        <f t="shared" si="5"/>
        <v>126.65371771921107</v>
      </c>
      <c r="S10" s="2">
        <f t="shared" si="6"/>
        <v>118.21013653793032</v>
      </c>
      <c r="T10" s="2">
        <f t="shared" si="7"/>
        <v>113.98834594728997</v>
      </c>
      <c r="V10" s="15">
        <v>0.4</v>
      </c>
      <c r="W10" s="15">
        <f t="shared" si="8"/>
        <v>229.9848978831493</v>
      </c>
      <c r="X10" s="15">
        <f t="shared" si="9"/>
        <v>214.65257135760595</v>
      </c>
      <c r="Y10" s="15">
        <f t="shared" si="10"/>
        <v>206.98640809483433</v>
      </c>
      <c r="Z10" s="15">
        <f t="shared" si="11"/>
        <v>197.89491300203434</v>
      </c>
      <c r="AA10" s="15">
        <f t="shared" si="12"/>
        <v>184.70191880189873</v>
      </c>
      <c r="AB10" s="15">
        <f t="shared" si="13"/>
        <v>178.10542170183092</v>
      </c>
    </row>
    <row r="11" spans="3:28" x14ac:dyDescent="0.25">
      <c r="C11" s="5"/>
      <c r="D11" s="5"/>
      <c r="E11" s="5"/>
      <c r="F11" s="5"/>
      <c r="N11" s="2">
        <v>0.45</v>
      </c>
      <c r="O11" s="2">
        <f t="shared" si="2"/>
        <v>147.19146588611167</v>
      </c>
      <c r="P11" s="2">
        <f t="shared" si="3"/>
        <v>137.3787014937042</v>
      </c>
      <c r="Q11" s="2">
        <f t="shared" si="4"/>
        <v>132.47231929750049</v>
      </c>
      <c r="R11" s="2">
        <f t="shared" si="5"/>
        <v>126.65371771921107</v>
      </c>
      <c r="S11" s="2">
        <f t="shared" si="6"/>
        <v>118.21013653793032</v>
      </c>
      <c r="T11" s="2">
        <f t="shared" si="7"/>
        <v>113.98834594728997</v>
      </c>
      <c r="V11" s="15">
        <v>0.45</v>
      </c>
      <c r="W11" s="15">
        <f t="shared" si="8"/>
        <v>229.9848978831493</v>
      </c>
      <c r="X11" s="15">
        <f t="shared" si="9"/>
        <v>214.65257135760595</v>
      </c>
      <c r="Y11" s="15">
        <f t="shared" si="10"/>
        <v>206.98640809483433</v>
      </c>
      <c r="Z11" s="15">
        <f t="shared" si="11"/>
        <v>197.89491300203434</v>
      </c>
      <c r="AA11" s="15">
        <f t="shared" si="12"/>
        <v>184.70191880189873</v>
      </c>
      <c r="AB11" s="15">
        <f t="shared" si="13"/>
        <v>178.10542170183092</v>
      </c>
    </row>
    <row r="12" spans="3:28" x14ac:dyDescent="0.25">
      <c r="C12" s="6" t="s">
        <v>2</v>
      </c>
      <c r="D12" s="6" t="s">
        <v>47</v>
      </c>
      <c r="E12" s="6">
        <f>4000/0.6</f>
        <v>6666.666666666667</v>
      </c>
      <c r="F12" s="6" t="s">
        <v>18</v>
      </c>
      <c r="N12" s="2">
        <v>0.5</v>
      </c>
      <c r="O12" s="2">
        <f t="shared" si="2"/>
        <v>147.19146588611167</v>
      </c>
      <c r="P12" s="2">
        <f t="shared" si="3"/>
        <v>137.3787014937042</v>
      </c>
      <c r="Q12" s="2">
        <f t="shared" si="4"/>
        <v>132.47231929750049</v>
      </c>
      <c r="R12" s="2">
        <f t="shared" si="5"/>
        <v>126.65371771921107</v>
      </c>
      <c r="S12" s="2">
        <f t="shared" si="6"/>
        <v>118.21013653793032</v>
      </c>
      <c r="T12" s="2">
        <f t="shared" si="7"/>
        <v>113.98834594728997</v>
      </c>
      <c r="V12" s="15">
        <v>0.5</v>
      </c>
      <c r="W12" s="15">
        <f t="shared" si="8"/>
        <v>229.9848978831493</v>
      </c>
      <c r="X12" s="15">
        <f t="shared" si="9"/>
        <v>214.65257135760595</v>
      </c>
      <c r="Y12" s="15">
        <f t="shared" si="10"/>
        <v>206.98640809483433</v>
      </c>
      <c r="Z12" s="15">
        <f t="shared" si="11"/>
        <v>197.89491300203434</v>
      </c>
      <c r="AA12" s="15">
        <f t="shared" si="12"/>
        <v>184.70191880189873</v>
      </c>
      <c r="AB12" s="15">
        <f t="shared" si="13"/>
        <v>178.10542170183092</v>
      </c>
    </row>
    <row r="13" spans="3:28" x14ac:dyDescent="0.25">
      <c r="C13" s="8" t="s">
        <v>1</v>
      </c>
      <c r="D13" s="8" t="s">
        <v>47</v>
      </c>
      <c r="E13" s="8">
        <f>6000/0.6</f>
        <v>10000</v>
      </c>
      <c r="F13" s="8" t="s">
        <v>18</v>
      </c>
      <c r="N13" s="2">
        <v>0.55000000000000004</v>
      </c>
      <c r="O13" s="2">
        <f t="shared" si="2"/>
        <v>147.19146588611167</v>
      </c>
      <c r="P13" s="2">
        <f t="shared" si="3"/>
        <v>137.3787014937042</v>
      </c>
      <c r="Q13" s="2">
        <f t="shared" si="4"/>
        <v>132.47231929750049</v>
      </c>
      <c r="R13" s="2">
        <f t="shared" si="5"/>
        <v>126.65371771921107</v>
      </c>
      <c r="S13" s="2">
        <f t="shared" si="6"/>
        <v>118.21013653793032</v>
      </c>
      <c r="T13" s="2">
        <f t="shared" si="7"/>
        <v>113.98834594728997</v>
      </c>
      <c r="V13" s="15">
        <v>0.55000000000000004</v>
      </c>
      <c r="W13" s="15">
        <f t="shared" si="8"/>
        <v>229.9848978831493</v>
      </c>
      <c r="X13" s="15">
        <f t="shared" si="9"/>
        <v>214.65257135760595</v>
      </c>
      <c r="Y13" s="15">
        <f t="shared" si="10"/>
        <v>206.98640809483433</v>
      </c>
      <c r="Z13" s="15">
        <f t="shared" si="11"/>
        <v>197.89491300203434</v>
      </c>
      <c r="AA13" s="15">
        <f t="shared" si="12"/>
        <v>184.70191880189873</v>
      </c>
      <c r="AB13" s="15">
        <f t="shared" si="13"/>
        <v>178.10542170183092</v>
      </c>
    </row>
    <row r="14" spans="3:28" x14ac:dyDescent="0.25">
      <c r="C14" s="6" t="s">
        <v>2</v>
      </c>
      <c r="D14" s="7" t="s">
        <v>24</v>
      </c>
      <c r="E14" s="7">
        <f>SQRT(E12/0.3)</f>
        <v>149.07119849998597</v>
      </c>
      <c r="F14" s="6" t="s">
        <v>3</v>
      </c>
      <c r="N14" s="2">
        <v>0.6</v>
      </c>
      <c r="O14" s="2">
        <f t="shared" si="2"/>
        <v>147.19146588611167</v>
      </c>
      <c r="P14" s="2">
        <f t="shared" si="3"/>
        <v>137.3787014937042</v>
      </c>
      <c r="Q14" s="2">
        <f t="shared" si="4"/>
        <v>132.47231929750049</v>
      </c>
      <c r="R14" s="2">
        <f t="shared" si="5"/>
        <v>126.65371771921107</v>
      </c>
      <c r="S14" s="2">
        <f t="shared" si="6"/>
        <v>118.21013653793032</v>
      </c>
      <c r="T14" s="2">
        <f t="shared" si="7"/>
        <v>113.98834594728997</v>
      </c>
      <c r="V14" s="15">
        <v>0.6</v>
      </c>
      <c r="W14" s="15">
        <f t="shared" si="8"/>
        <v>229.9848978831493</v>
      </c>
      <c r="X14" s="15">
        <f t="shared" si="9"/>
        <v>214.65257135760595</v>
      </c>
      <c r="Y14" s="15">
        <f t="shared" si="10"/>
        <v>206.98640809483433</v>
      </c>
      <c r="Z14" s="15">
        <f t="shared" si="11"/>
        <v>197.89491300203434</v>
      </c>
      <c r="AA14" s="15">
        <f t="shared" si="12"/>
        <v>184.70191880189873</v>
      </c>
      <c r="AB14" s="15">
        <f t="shared" si="13"/>
        <v>178.10542170183092</v>
      </c>
    </row>
    <row r="15" spans="3:28" x14ac:dyDescent="0.25">
      <c r="C15" s="8" t="s">
        <v>1</v>
      </c>
      <c r="D15" s="9" t="s">
        <v>25</v>
      </c>
      <c r="E15" s="9">
        <f>SQRT(E13/0.3)</f>
        <v>182.57418583505537</v>
      </c>
      <c r="F15" s="6" t="s">
        <v>3</v>
      </c>
      <c r="N15" s="2">
        <v>0.65</v>
      </c>
      <c r="O15" s="2">
        <f t="shared" si="2"/>
        <v>147.19146588611167</v>
      </c>
      <c r="P15" s="2">
        <f t="shared" si="3"/>
        <v>137.3787014937042</v>
      </c>
      <c r="Q15" s="2">
        <f t="shared" si="4"/>
        <v>132.47231929750049</v>
      </c>
      <c r="R15" s="2">
        <f t="shared" si="5"/>
        <v>126.65371771921107</v>
      </c>
      <c r="S15" s="2">
        <f t="shared" si="6"/>
        <v>118.21013653793032</v>
      </c>
      <c r="T15" s="2">
        <f t="shared" si="7"/>
        <v>113.98834594728997</v>
      </c>
      <c r="V15" s="15">
        <v>0.65</v>
      </c>
      <c r="W15" s="15">
        <f t="shared" si="8"/>
        <v>229.9848978831493</v>
      </c>
      <c r="X15" s="15">
        <f t="shared" si="9"/>
        <v>214.65257135760595</v>
      </c>
      <c r="Y15" s="15">
        <f t="shared" si="10"/>
        <v>206.98640809483433</v>
      </c>
      <c r="Z15" s="15">
        <f t="shared" si="11"/>
        <v>197.89491300203434</v>
      </c>
      <c r="AA15" s="15">
        <f t="shared" si="12"/>
        <v>184.70191880189873</v>
      </c>
      <c r="AB15" s="15">
        <f t="shared" si="13"/>
        <v>178.10542170183092</v>
      </c>
    </row>
    <row r="16" spans="3:28" x14ac:dyDescent="0.25">
      <c r="C16" s="6" t="s">
        <v>2</v>
      </c>
      <c r="D16" s="6" t="s">
        <v>26</v>
      </c>
      <c r="E16" s="6">
        <f>E14/1.3</f>
        <v>114.6701526922969</v>
      </c>
      <c r="F16" s="5"/>
      <c r="N16" s="2">
        <v>0.7</v>
      </c>
      <c r="O16" s="2">
        <f t="shared" si="2"/>
        <v>147.19146588611167</v>
      </c>
      <c r="P16" s="2">
        <f t="shared" si="3"/>
        <v>137.3787014937042</v>
      </c>
      <c r="Q16" s="2">
        <f t="shared" si="4"/>
        <v>132.47231929750049</v>
      </c>
      <c r="R16" s="2">
        <f t="shared" si="5"/>
        <v>126.65371771921107</v>
      </c>
      <c r="S16" s="2">
        <f t="shared" si="6"/>
        <v>118.21013653793032</v>
      </c>
      <c r="T16" s="2">
        <f t="shared" si="7"/>
        <v>113.98834594728997</v>
      </c>
      <c r="V16" s="15">
        <v>0.7</v>
      </c>
      <c r="W16" s="15">
        <f t="shared" si="8"/>
        <v>229.9848978831493</v>
      </c>
      <c r="X16" s="15">
        <f t="shared" si="9"/>
        <v>214.65257135760595</v>
      </c>
      <c r="Y16" s="15">
        <f t="shared" si="10"/>
        <v>206.98640809483433</v>
      </c>
      <c r="Z16" s="15">
        <f t="shared" si="11"/>
        <v>197.89491300203434</v>
      </c>
      <c r="AA16" s="15">
        <f t="shared" si="12"/>
        <v>184.70191880189873</v>
      </c>
      <c r="AB16" s="15">
        <f t="shared" si="13"/>
        <v>178.10542170183092</v>
      </c>
    </row>
    <row r="17" spans="3:28" x14ac:dyDescent="0.25">
      <c r="C17" s="8" t="s">
        <v>1</v>
      </c>
      <c r="D17" s="8" t="s">
        <v>26</v>
      </c>
      <c r="E17" s="8">
        <f>E15/1.3</f>
        <v>140.44168141158104</v>
      </c>
      <c r="K17">
        <f>1/K18</f>
        <v>0.87729896907216498</v>
      </c>
      <c r="N17" s="2">
        <v>0.75</v>
      </c>
      <c r="O17" s="2">
        <f t="shared" si="2"/>
        <v>147.19146588611167</v>
      </c>
      <c r="P17" s="2">
        <f t="shared" si="3"/>
        <v>137.3787014937042</v>
      </c>
      <c r="Q17" s="2">
        <f t="shared" si="4"/>
        <v>132.47231929750049</v>
      </c>
      <c r="R17" s="2">
        <f t="shared" si="5"/>
        <v>126.65371771921107</v>
      </c>
      <c r="S17" s="2">
        <f t="shared" si="6"/>
        <v>118.21013653793032</v>
      </c>
      <c r="T17" s="2">
        <f t="shared" si="7"/>
        <v>113.98834594728997</v>
      </c>
      <c r="V17" s="15">
        <v>0.75</v>
      </c>
      <c r="W17" s="15">
        <f t="shared" si="8"/>
        <v>229.9848978831493</v>
      </c>
      <c r="X17" s="15">
        <f t="shared" si="9"/>
        <v>214.65257135760595</v>
      </c>
      <c r="Y17" s="15">
        <f t="shared" si="10"/>
        <v>206.98640809483433</v>
      </c>
      <c r="Z17" s="15">
        <f t="shared" si="11"/>
        <v>197.89491300203434</v>
      </c>
      <c r="AA17" s="15">
        <f t="shared" si="12"/>
        <v>184.70191880189873</v>
      </c>
      <c r="AB17" s="15">
        <f t="shared" si="13"/>
        <v>178.10542170183092</v>
      </c>
    </row>
    <row r="18" spans="3:28" x14ac:dyDescent="0.25">
      <c r="C18" s="2" t="s">
        <v>8</v>
      </c>
      <c r="D18" s="3" t="s">
        <v>7</v>
      </c>
      <c r="E18" s="2">
        <v>3</v>
      </c>
      <c r="K18">
        <f>48.5/42.549</f>
        <v>1.1398622764342288</v>
      </c>
      <c r="N18" s="2">
        <v>0.8</v>
      </c>
      <c r="O18" s="2">
        <f t="shared" si="2"/>
        <v>147.19146588611167</v>
      </c>
      <c r="P18" s="2">
        <f t="shared" si="3"/>
        <v>137.3787014937042</v>
      </c>
      <c r="Q18" s="2">
        <f t="shared" si="4"/>
        <v>132.47231929750049</v>
      </c>
      <c r="R18" s="2">
        <f t="shared" si="5"/>
        <v>126.65371771921107</v>
      </c>
      <c r="S18" s="2">
        <f t="shared" si="6"/>
        <v>118.21013653793032</v>
      </c>
      <c r="T18" s="2">
        <f t="shared" si="7"/>
        <v>113.98834594728997</v>
      </c>
      <c r="V18" s="15">
        <v>0.8</v>
      </c>
      <c r="W18" s="15">
        <f t="shared" si="8"/>
        <v>229.9848978831493</v>
      </c>
      <c r="X18" s="15">
        <f t="shared" si="9"/>
        <v>214.65257135760595</v>
      </c>
      <c r="Y18" s="15">
        <f t="shared" si="10"/>
        <v>206.98640809483433</v>
      </c>
      <c r="Z18" s="15">
        <f t="shared" si="11"/>
        <v>197.89491300203434</v>
      </c>
      <c r="AA18" s="15">
        <f t="shared" si="12"/>
        <v>184.70191880189873</v>
      </c>
      <c r="AB18" s="15">
        <f t="shared" si="13"/>
        <v>178.10542170183092</v>
      </c>
    </row>
    <row r="19" spans="3:28" x14ac:dyDescent="0.25">
      <c r="C19" s="2" t="s">
        <v>9</v>
      </c>
      <c r="D19" s="3" t="s">
        <v>7</v>
      </c>
      <c r="E19" s="2">
        <v>2.8</v>
      </c>
      <c r="G19" s="1" t="s">
        <v>21</v>
      </c>
      <c r="N19" s="2">
        <v>0.85</v>
      </c>
      <c r="O19" s="2">
        <f t="shared" si="2"/>
        <v>147.19146588611167</v>
      </c>
      <c r="P19" s="2">
        <f t="shared" si="3"/>
        <v>137.3787014937042</v>
      </c>
      <c r="Q19" s="2">
        <f t="shared" si="4"/>
        <v>132.47231929750049</v>
      </c>
      <c r="R19" s="2">
        <f t="shared" si="5"/>
        <v>126.65371771921107</v>
      </c>
      <c r="S19" s="2">
        <f t="shared" si="6"/>
        <v>118.21013653793032</v>
      </c>
      <c r="T19" s="2">
        <f t="shared" si="7"/>
        <v>113.98834594728997</v>
      </c>
      <c r="V19" s="15">
        <v>0.85</v>
      </c>
      <c r="W19" s="15">
        <f t="shared" si="8"/>
        <v>229.9848978831493</v>
      </c>
      <c r="X19" s="15">
        <f t="shared" si="9"/>
        <v>214.65257135760595</v>
      </c>
      <c r="Y19" s="15">
        <f t="shared" si="10"/>
        <v>206.98640809483433</v>
      </c>
      <c r="Z19" s="15">
        <f t="shared" si="11"/>
        <v>197.89491300203434</v>
      </c>
      <c r="AA19" s="15">
        <f t="shared" si="12"/>
        <v>184.70191880189873</v>
      </c>
      <c r="AB19" s="15">
        <f t="shared" si="13"/>
        <v>178.10542170183092</v>
      </c>
    </row>
    <row r="20" spans="3:28" x14ac:dyDescent="0.25">
      <c r="C20" s="2" t="s">
        <v>10</v>
      </c>
      <c r="D20" s="3" t="s">
        <v>7</v>
      </c>
      <c r="E20" s="2">
        <v>2.7</v>
      </c>
      <c r="N20" s="2">
        <v>0.9</v>
      </c>
      <c r="O20" s="2">
        <f t="shared" si="2"/>
        <v>147.19146588611167</v>
      </c>
      <c r="P20" s="2">
        <f t="shared" si="3"/>
        <v>137.3787014937042</v>
      </c>
      <c r="Q20" s="2">
        <f t="shared" si="4"/>
        <v>132.47231929750049</v>
      </c>
      <c r="R20" s="2">
        <f t="shared" si="5"/>
        <v>126.65371771921107</v>
      </c>
      <c r="S20" s="2">
        <f t="shared" si="6"/>
        <v>118.21013653793032</v>
      </c>
      <c r="T20" s="2">
        <f t="shared" si="7"/>
        <v>113.98834594728997</v>
      </c>
      <c r="V20" s="15">
        <v>0.9</v>
      </c>
      <c r="W20" s="15">
        <f t="shared" si="8"/>
        <v>229.9848978831493</v>
      </c>
      <c r="X20" s="15">
        <f t="shared" si="9"/>
        <v>214.65257135760595</v>
      </c>
      <c r="Y20" s="15">
        <f t="shared" si="10"/>
        <v>206.98640809483433</v>
      </c>
      <c r="Z20" s="15">
        <f t="shared" si="11"/>
        <v>197.89491300203434</v>
      </c>
      <c r="AA20" s="15">
        <f t="shared" si="12"/>
        <v>184.70191880189873</v>
      </c>
      <c r="AB20" s="15">
        <f t="shared" si="13"/>
        <v>178.10542170183092</v>
      </c>
    </row>
    <row r="21" spans="3:28" x14ac:dyDescent="0.25">
      <c r="C21" s="3" t="s">
        <v>22</v>
      </c>
      <c r="D21" s="3" t="s">
        <v>19</v>
      </c>
      <c r="E21" s="2">
        <v>2.2977000000000002E-3</v>
      </c>
      <c r="F21" s="16" t="s">
        <v>48</v>
      </c>
    </row>
    <row r="22" spans="3:28" x14ac:dyDescent="0.25">
      <c r="C22" s="3" t="s">
        <v>22</v>
      </c>
      <c r="D22" s="3" t="s">
        <v>20</v>
      </c>
      <c r="E22" s="10">
        <v>1.9770999999999999E-3</v>
      </c>
      <c r="F22" s="16" t="s">
        <v>48</v>
      </c>
    </row>
    <row r="25" spans="3:28" x14ac:dyDescent="0.25">
      <c r="C25" s="6" t="s">
        <v>13</v>
      </c>
      <c r="D25" s="6" t="s">
        <v>6</v>
      </c>
      <c r="E25" s="6">
        <f>E16^2*ro*E18*1.688^2/2</f>
        <v>129.13092127810651</v>
      </c>
      <c r="G25" s="6" t="s">
        <v>40</v>
      </c>
      <c r="H25" s="6" t="s">
        <v>6</v>
      </c>
      <c r="I25" s="11">
        <f>E16^2*E22*E18*1.688^2/2</f>
        <v>111.11317598422087</v>
      </c>
      <c r="J25" s="18" t="s">
        <v>23</v>
      </c>
      <c r="K25" s="18"/>
    </row>
    <row r="26" spans="3:28" x14ac:dyDescent="0.25">
      <c r="D26" s="2" t="s">
        <v>11</v>
      </c>
      <c r="E26" s="4">
        <f>E25/E9</f>
        <v>147.19146588611167</v>
      </c>
      <c r="H26" s="2" t="s">
        <v>11</v>
      </c>
      <c r="I26" s="12">
        <f>I25/E9</f>
        <v>126.65371771921107</v>
      </c>
    </row>
    <row r="27" spans="3:28" x14ac:dyDescent="0.25">
      <c r="I27" s="13"/>
    </row>
    <row r="28" spans="3:28" x14ac:dyDescent="0.25">
      <c r="C28" s="6" t="s">
        <v>12</v>
      </c>
      <c r="D28" s="6" t="s">
        <v>6</v>
      </c>
      <c r="E28" s="6">
        <f>E16^2*ro*CL_max*1.688^2/2</f>
        <v>120.52219319289939</v>
      </c>
      <c r="G28" s="6" t="s">
        <v>41</v>
      </c>
      <c r="H28" s="6" t="s">
        <v>6</v>
      </c>
      <c r="I28" s="11">
        <f>E16^2*E22*CL_max*1.688^2/2</f>
        <v>103.70563091860613</v>
      </c>
      <c r="J28" s="18" t="s">
        <v>23</v>
      </c>
      <c r="K28" s="18"/>
    </row>
    <row r="29" spans="3:28" x14ac:dyDescent="0.25">
      <c r="D29" s="2" t="s">
        <v>11</v>
      </c>
      <c r="E29" s="4">
        <f>E28/E9</f>
        <v>137.3787014937042</v>
      </c>
      <c r="H29" s="2" t="s">
        <v>11</v>
      </c>
      <c r="I29" s="12">
        <f>I28/E9</f>
        <v>118.21013653793032</v>
      </c>
    </row>
    <row r="30" spans="3:28" x14ac:dyDescent="0.25">
      <c r="I30" s="13"/>
    </row>
    <row r="31" spans="3:28" x14ac:dyDescent="0.25">
      <c r="C31" s="6" t="s">
        <v>14</v>
      </c>
      <c r="D31" s="6" t="s">
        <v>6</v>
      </c>
      <c r="E31" s="6">
        <f>E16^2*ro*E20*1.688^2/2</f>
        <v>116.21782915029586</v>
      </c>
      <c r="G31" s="6" t="s">
        <v>42</v>
      </c>
      <c r="H31" s="6" t="s">
        <v>6</v>
      </c>
      <c r="I31" s="11">
        <f>E16^2*E22*E20*1.688^2/2</f>
        <v>100.00185838579878</v>
      </c>
      <c r="J31" s="18" t="s">
        <v>23</v>
      </c>
      <c r="K31" s="18"/>
    </row>
    <row r="32" spans="3:28" x14ac:dyDescent="0.25">
      <c r="D32" s="2" t="s">
        <v>11</v>
      </c>
      <c r="E32" s="4">
        <f>E31/E9</f>
        <v>132.47231929750049</v>
      </c>
      <c r="H32" s="2" t="s">
        <v>11</v>
      </c>
      <c r="I32" s="12">
        <f>I31/E9</f>
        <v>113.98834594728997</v>
      </c>
    </row>
    <row r="33" spans="3:11" x14ac:dyDescent="0.25">
      <c r="I33" s="13"/>
    </row>
    <row r="34" spans="3:11" x14ac:dyDescent="0.25">
      <c r="C34" s="8" t="s">
        <v>15</v>
      </c>
      <c r="D34" s="8" t="s">
        <v>6</v>
      </c>
      <c r="E34" s="8">
        <f>V_SL^2*ro*E18*1.688^2/2</f>
        <v>193.69638191715978</v>
      </c>
      <c r="G34" s="8" t="s">
        <v>43</v>
      </c>
      <c r="H34" s="8" t="s">
        <v>6</v>
      </c>
      <c r="I34" s="14">
        <f>V_SL^2*E18*E22*1.688^2/2</f>
        <v>166.66976397633132</v>
      </c>
      <c r="J34" s="18" t="s">
        <v>23</v>
      </c>
      <c r="K34" s="18"/>
    </row>
    <row r="35" spans="3:11" x14ac:dyDescent="0.25">
      <c r="D35" s="2" t="s">
        <v>11</v>
      </c>
      <c r="E35" s="4">
        <f>E34/E10</f>
        <v>229.9848978831493</v>
      </c>
      <c r="H35" s="2" t="s">
        <v>11</v>
      </c>
      <c r="I35" s="12">
        <f>I34/E10</f>
        <v>197.89491300203434</v>
      </c>
    </row>
    <row r="36" spans="3:11" x14ac:dyDescent="0.25">
      <c r="I36" s="13"/>
    </row>
    <row r="37" spans="3:11" x14ac:dyDescent="0.25">
      <c r="C37" s="8" t="s">
        <v>16</v>
      </c>
      <c r="D37" s="8" t="s">
        <v>6</v>
      </c>
      <c r="E37" s="8">
        <f>V_SL^2*ro*CL_max*1.688^2/2</f>
        <v>180.78328978934908</v>
      </c>
      <c r="G37" s="8" t="s">
        <v>44</v>
      </c>
      <c r="H37" s="8" t="s">
        <v>6</v>
      </c>
      <c r="I37" s="14">
        <f>V_SL^2*E22*CL_max*1.688^2/2</f>
        <v>155.55844637790923</v>
      </c>
      <c r="J37" s="18" t="s">
        <v>23</v>
      </c>
      <c r="K37" s="18"/>
    </row>
    <row r="38" spans="3:11" x14ac:dyDescent="0.25">
      <c r="C38" s="2"/>
      <c r="D38" s="2" t="s">
        <v>11</v>
      </c>
      <c r="E38" s="4">
        <f>E37/E10</f>
        <v>214.65257135760595</v>
      </c>
      <c r="G38" s="2"/>
      <c r="H38" s="2" t="s">
        <v>11</v>
      </c>
      <c r="I38" s="12">
        <f>I37/E10</f>
        <v>184.70191880189873</v>
      </c>
    </row>
    <row r="39" spans="3:11" x14ac:dyDescent="0.25">
      <c r="I39" s="13"/>
    </row>
    <row r="40" spans="3:11" x14ac:dyDescent="0.25">
      <c r="C40" s="8" t="s">
        <v>17</v>
      </c>
      <c r="D40" s="8" t="s">
        <v>6</v>
      </c>
      <c r="E40" s="8">
        <f>V_SL^2*ro*E20*1.688^2/2</f>
        <v>174.32674372544378</v>
      </c>
      <c r="G40" s="8" t="s">
        <v>45</v>
      </c>
      <c r="H40" s="8" t="s">
        <v>6</v>
      </c>
      <c r="I40" s="14">
        <f>V_SL^2*E22*E20*1.688^2/2</f>
        <v>150.00278757869819</v>
      </c>
      <c r="J40" s="18" t="s">
        <v>23</v>
      </c>
      <c r="K40" s="18"/>
    </row>
    <row r="41" spans="3:11" x14ac:dyDescent="0.25">
      <c r="D41" s="2" t="s">
        <v>11</v>
      </c>
      <c r="E41" s="4">
        <f>E40/E10</f>
        <v>206.98640809483433</v>
      </c>
      <c r="H41" s="2" t="s">
        <v>11</v>
      </c>
      <c r="I41" s="12">
        <f>I40/E10</f>
        <v>178.10542170183092</v>
      </c>
    </row>
    <row r="47" spans="3:11" x14ac:dyDescent="0.25">
      <c r="C47" s="17" t="s">
        <v>46</v>
      </c>
      <c r="D47" s="17"/>
      <c r="E47" s="17"/>
      <c r="F47" s="17"/>
      <c r="G47" s="17"/>
      <c r="H47" s="17"/>
      <c r="I47" s="17"/>
    </row>
    <row r="48" spans="3:11" x14ac:dyDescent="0.25">
      <c r="C48" s="2"/>
      <c r="D48" s="2" t="s">
        <v>55</v>
      </c>
      <c r="E48" s="2"/>
      <c r="F48" s="2"/>
      <c r="G48" s="2"/>
      <c r="H48" s="2"/>
      <c r="I48" s="2"/>
    </row>
    <row r="49" spans="3:9" x14ac:dyDescent="0.25">
      <c r="C49" s="2" t="s">
        <v>54</v>
      </c>
      <c r="D49" s="2">
        <v>212</v>
      </c>
      <c r="E49" s="2"/>
      <c r="F49" s="2"/>
      <c r="G49" s="2"/>
      <c r="H49" s="2"/>
      <c r="I49" s="2"/>
    </row>
    <row r="50" spans="3:9" x14ac:dyDescent="0.25">
      <c r="C50" s="2" t="s">
        <v>52</v>
      </c>
      <c r="D50" s="2">
        <v>101352.93</v>
      </c>
      <c r="E50" s="2"/>
      <c r="F50" s="2"/>
      <c r="G50" s="2"/>
      <c r="H50" s="2"/>
      <c r="I50" s="2"/>
    </row>
    <row r="51" spans="3:9" x14ac:dyDescent="0.25">
      <c r="C51" s="2" t="s">
        <v>49</v>
      </c>
      <c r="D51" s="2">
        <v>0.17299999999999999</v>
      </c>
      <c r="E51" s="2"/>
      <c r="F51" s="2"/>
      <c r="G51" s="2"/>
      <c r="H51" s="2"/>
      <c r="I51" s="2"/>
    </row>
    <row r="52" spans="3:9" x14ac:dyDescent="0.25">
      <c r="C52" s="2" t="s">
        <v>51</v>
      </c>
      <c r="D52" s="2">
        <v>100732.4</v>
      </c>
      <c r="E52" s="2"/>
      <c r="F52" s="2"/>
      <c r="G52" s="2"/>
      <c r="H52" s="2"/>
      <c r="I52" s="2"/>
    </row>
    <row r="53" spans="3:9" x14ac:dyDescent="0.25">
      <c r="C53" s="2" t="s">
        <v>53</v>
      </c>
      <c r="D53" s="2">
        <f>D52*((1+0.2*D51^2)^(7/2)-1)</f>
        <v>2126.2116398446892</v>
      </c>
      <c r="E53" s="2"/>
      <c r="F53" s="2"/>
      <c r="G53" s="2"/>
      <c r="H53" s="2"/>
      <c r="I53" s="2"/>
    </row>
    <row r="54" spans="3:9" x14ac:dyDescent="0.25">
      <c r="C54" s="2" t="s">
        <v>50</v>
      </c>
      <c r="D54" s="2">
        <f>D49*SQRT(5*(D53/D50+1)^(7/2)-1)</f>
        <v>443.52347400698977</v>
      </c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>
        <f>14.61*((1+0.2*0.173^2)^(7/2)-1)</f>
        <v>0.3083809385870972</v>
      </c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</sheetData>
  <mergeCells count="8">
    <mergeCell ref="C47:I47"/>
    <mergeCell ref="J37:K37"/>
    <mergeCell ref="J40:K40"/>
    <mergeCell ref="D7:E7"/>
    <mergeCell ref="J25:K25"/>
    <mergeCell ref="J28:K28"/>
    <mergeCell ref="J31:K31"/>
    <mergeCell ref="J34:K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CL_max</vt:lpstr>
      <vt:lpstr>ro</vt:lpstr>
      <vt:lpstr>V_SL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2021-03-15T17:24:15Z</dcterms:modified>
</cp:coreProperties>
</file>