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L_max">Sheet1!$E$19</definedName>
    <definedName name="ro">Sheet1!$E$21</definedName>
    <definedName name="V_SL">Sheet1!$E$17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 l="1"/>
  <c r="E9" i="1"/>
  <c r="E10" i="1" l="1"/>
  <c r="K18" i="1"/>
  <c r="K17" i="1"/>
  <c r="D56" i="1" l="1"/>
  <c r="D53" i="1"/>
  <c r="D54" i="1" s="1"/>
  <c r="E15" i="1" l="1"/>
  <c r="E17" i="1" s="1"/>
  <c r="I37" i="1" s="1"/>
  <c r="I38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E14" i="1"/>
  <c r="E16" i="1" s="1"/>
  <c r="I28" i="1" s="1"/>
  <c r="I2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I31" i="1" l="1"/>
  <c r="I32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I34" i="1"/>
  <c r="I35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I25" i="1"/>
  <c r="I26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I40" i="1"/>
  <c r="I41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E40" i="1"/>
  <c r="E41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E37" i="1"/>
  <c r="E38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E34" i="1"/>
  <c r="E35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E31" i="1"/>
  <c r="E32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E28" i="1"/>
  <c r="E2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E25" i="1"/>
  <c r="E26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</calcChain>
</file>

<file path=xl/sharedStrings.xml><?xml version="1.0" encoding="utf-8"?>
<sst xmlns="http://schemas.openxmlformats.org/spreadsheetml/2006/main" count="100" uniqueCount="56">
  <si>
    <t>W_landing/W_TO</t>
  </si>
  <si>
    <t>76 seat</t>
  </si>
  <si>
    <t>50 seat</t>
  </si>
  <si>
    <t>&lt;141 knot</t>
  </si>
  <si>
    <t>رابطه در صفحه 28 موجود است</t>
  </si>
  <si>
    <t>&lt;---fuel fraction</t>
  </si>
  <si>
    <t>(W/S)_L</t>
  </si>
  <si>
    <t>CL_max</t>
  </si>
  <si>
    <t>high</t>
  </si>
  <si>
    <t>medium</t>
  </si>
  <si>
    <t>low</t>
  </si>
  <si>
    <t>(W/S)_TO</t>
  </si>
  <si>
    <t>50 seat medium tech</t>
  </si>
  <si>
    <t>50 seat high tech</t>
  </si>
  <si>
    <t>50 seat low tech</t>
  </si>
  <si>
    <t>76 seat high tech</t>
  </si>
  <si>
    <t>76 seat medium tech</t>
  </si>
  <si>
    <t>76 seat low tech</t>
  </si>
  <si>
    <t>RFP</t>
  </si>
  <si>
    <t>ro (slug/ft^3)(sea level)</t>
  </si>
  <si>
    <t>ro (slug/ft^3)(5000 ft)</t>
  </si>
  <si>
    <t>1 knot=1.688 fps</t>
  </si>
  <si>
    <t>air density</t>
  </si>
  <si>
    <t>&lt;--speed by fps</t>
  </si>
  <si>
    <t>V_A (knot)</t>
  </si>
  <si>
    <t>V_A  (knot)</t>
  </si>
  <si>
    <t>V_SL (knot)</t>
  </si>
  <si>
    <t>T/W</t>
  </si>
  <si>
    <t>W/S 50 high</t>
  </si>
  <si>
    <t>W/S 50 midium</t>
  </si>
  <si>
    <t>W/S 50 low</t>
  </si>
  <si>
    <t>W/S 50 high (5000ft)</t>
  </si>
  <si>
    <t>W/S 50 midium (5000ft)</t>
  </si>
  <si>
    <t>W/S 50 low (5000ft)</t>
  </si>
  <si>
    <t>W/S 76 high</t>
  </si>
  <si>
    <t>W/S 76 midium</t>
  </si>
  <si>
    <t>W/S 76 low</t>
  </si>
  <si>
    <t>W/S 76 high (5000ft)</t>
  </si>
  <si>
    <t>W/S 76 midium (5000ft)</t>
  </si>
  <si>
    <t>W/S 76 low (5000ft)</t>
  </si>
  <si>
    <t>50 seat high tech (5000ft)</t>
  </si>
  <si>
    <t>50 seat medium tech  (5000ft)</t>
  </si>
  <si>
    <t>50 seat low tech  (5000ft)</t>
  </si>
  <si>
    <t>76 seat high tech  (5000ft)</t>
  </si>
  <si>
    <t>76 seat medium tech  (5000ft)</t>
  </si>
  <si>
    <t>76 seat low tech  (5000ft)</t>
  </si>
  <si>
    <t>Calibrated Air Speed</t>
  </si>
  <si>
    <t>S_FL (ft)</t>
  </si>
  <si>
    <t>ISA + 18F</t>
  </si>
  <si>
    <t>M</t>
  </si>
  <si>
    <t>CAS</t>
  </si>
  <si>
    <t>P (static pressure)</t>
  </si>
  <si>
    <t>P_0 (static pressure at sea level)</t>
  </si>
  <si>
    <t>q_c (impact pressure)</t>
  </si>
  <si>
    <t>a_0 (sound speed at 15 C)</t>
  </si>
  <si>
    <t>sea level (50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</si>
</sst>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max=3,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Sheet1!$O$20:$O$38</c:f>
              <c:numCache>
                <c:formatCode>General</c:formatCode>
                <c:ptCount val="19"/>
                <c:pt idx="0">
                  <c:v>147.19146588611167</c:v>
                </c:pt>
                <c:pt idx="1">
                  <c:v>147.19146588611167</c:v>
                </c:pt>
                <c:pt idx="2">
                  <c:v>147.19146588611167</c:v>
                </c:pt>
                <c:pt idx="3">
                  <c:v>147.19146588611167</c:v>
                </c:pt>
                <c:pt idx="4">
                  <c:v>147.19146588611167</c:v>
                </c:pt>
                <c:pt idx="5">
                  <c:v>147.19146588611167</c:v>
                </c:pt>
                <c:pt idx="6">
                  <c:v>147.19146588611167</c:v>
                </c:pt>
                <c:pt idx="7">
                  <c:v>147.19146588611167</c:v>
                </c:pt>
                <c:pt idx="8">
                  <c:v>147.19146588611167</c:v>
                </c:pt>
                <c:pt idx="9">
                  <c:v>147.19146588611167</c:v>
                </c:pt>
                <c:pt idx="10">
                  <c:v>147.19146588611167</c:v>
                </c:pt>
                <c:pt idx="11">
                  <c:v>147.19146588611167</c:v>
                </c:pt>
                <c:pt idx="12">
                  <c:v>147.19146588611167</c:v>
                </c:pt>
                <c:pt idx="13">
                  <c:v>147.19146588611167</c:v>
                </c:pt>
                <c:pt idx="14">
                  <c:v>147.19146588611167</c:v>
                </c:pt>
                <c:pt idx="15">
                  <c:v>147.19146588611167</c:v>
                </c:pt>
                <c:pt idx="16">
                  <c:v>147.19146588611167</c:v>
                </c:pt>
                <c:pt idx="17">
                  <c:v>147.19146588611167</c:v>
                </c:pt>
                <c:pt idx="18">
                  <c:v>147.19146588611167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F61-4A70-BC91-712061D6E1C0}"/>
            </c:ext>
          </c:extLst>
        </c:ser>
        <c:ser>
          <c:idx val="0"/>
          <c:order val="1"/>
          <c:tx>
            <c:v>CL max=3,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Sheet1!$R$20:$R$38</c:f>
              <c:numCache>
                <c:formatCode>General</c:formatCode>
                <c:ptCount val="19"/>
                <c:pt idx="0">
                  <c:v>126.65371771921107</c:v>
                </c:pt>
                <c:pt idx="1">
                  <c:v>126.65371771921107</c:v>
                </c:pt>
                <c:pt idx="2">
                  <c:v>126.65371771921107</c:v>
                </c:pt>
                <c:pt idx="3">
                  <c:v>126.65371771921107</c:v>
                </c:pt>
                <c:pt idx="4">
                  <c:v>126.65371771921107</c:v>
                </c:pt>
                <c:pt idx="5">
                  <c:v>126.65371771921107</c:v>
                </c:pt>
                <c:pt idx="6">
                  <c:v>126.65371771921107</c:v>
                </c:pt>
                <c:pt idx="7">
                  <c:v>126.65371771921107</c:v>
                </c:pt>
                <c:pt idx="8">
                  <c:v>126.65371771921107</c:v>
                </c:pt>
                <c:pt idx="9">
                  <c:v>126.65371771921107</c:v>
                </c:pt>
                <c:pt idx="10">
                  <c:v>126.65371771921107</c:v>
                </c:pt>
                <c:pt idx="11">
                  <c:v>126.65371771921107</c:v>
                </c:pt>
                <c:pt idx="12">
                  <c:v>126.65371771921107</c:v>
                </c:pt>
                <c:pt idx="13">
                  <c:v>126.65371771921107</c:v>
                </c:pt>
                <c:pt idx="14">
                  <c:v>126.65371771921107</c:v>
                </c:pt>
                <c:pt idx="15">
                  <c:v>126.65371771921107</c:v>
                </c:pt>
                <c:pt idx="16">
                  <c:v>126.65371771921107</c:v>
                </c:pt>
                <c:pt idx="17">
                  <c:v>126.65371771921107</c:v>
                </c:pt>
                <c:pt idx="18">
                  <c:v>126.65371771921107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F61-4A70-BC91-712061D6E1C0}"/>
            </c:ext>
          </c:extLst>
        </c:ser>
        <c:ser>
          <c:idx val="1"/>
          <c:order val="2"/>
          <c:tx>
            <c:v>CL max=3,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Sheet1!$W$20:$W$38</c:f>
              <c:numCache>
                <c:formatCode>General</c:formatCode>
                <c:ptCount val="19"/>
                <c:pt idx="0">
                  <c:v>229.9848978831493</c:v>
                </c:pt>
                <c:pt idx="1">
                  <c:v>229.9848978831493</c:v>
                </c:pt>
                <c:pt idx="2">
                  <c:v>229.9848978831493</c:v>
                </c:pt>
                <c:pt idx="3">
                  <c:v>229.9848978831493</c:v>
                </c:pt>
                <c:pt idx="4">
                  <c:v>229.9848978831493</c:v>
                </c:pt>
                <c:pt idx="5">
                  <c:v>229.9848978831493</c:v>
                </c:pt>
                <c:pt idx="6">
                  <c:v>229.9848978831493</c:v>
                </c:pt>
                <c:pt idx="7">
                  <c:v>229.9848978831493</c:v>
                </c:pt>
                <c:pt idx="8">
                  <c:v>229.9848978831493</c:v>
                </c:pt>
                <c:pt idx="9">
                  <c:v>229.9848978831493</c:v>
                </c:pt>
                <c:pt idx="10">
                  <c:v>229.9848978831493</c:v>
                </c:pt>
                <c:pt idx="11">
                  <c:v>229.9848978831493</c:v>
                </c:pt>
                <c:pt idx="12">
                  <c:v>229.9848978831493</c:v>
                </c:pt>
                <c:pt idx="13">
                  <c:v>229.9848978831493</c:v>
                </c:pt>
                <c:pt idx="14">
                  <c:v>229.9848978831493</c:v>
                </c:pt>
                <c:pt idx="15">
                  <c:v>229.9848978831493</c:v>
                </c:pt>
                <c:pt idx="16">
                  <c:v>229.9848978831493</c:v>
                </c:pt>
                <c:pt idx="17">
                  <c:v>229.9848978831493</c:v>
                </c:pt>
                <c:pt idx="18">
                  <c:v>229.9848978831493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F61-4A70-BC91-712061D6E1C0}"/>
            </c:ext>
          </c:extLst>
        </c:ser>
        <c:ser>
          <c:idx val="2"/>
          <c:order val="3"/>
          <c:tx>
            <c:v>CL max=3,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Sheet1!$Z$20:$Z$38</c:f>
              <c:numCache>
                <c:formatCode>General</c:formatCode>
                <c:ptCount val="19"/>
                <c:pt idx="0">
                  <c:v>197.89491300203434</c:v>
                </c:pt>
                <c:pt idx="1">
                  <c:v>197.89491300203434</c:v>
                </c:pt>
                <c:pt idx="2">
                  <c:v>197.89491300203434</c:v>
                </c:pt>
                <c:pt idx="3">
                  <c:v>197.89491300203434</c:v>
                </c:pt>
                <c:pt idx="4">
                  <c:v>197.89491300203434</c:v>
                </c:pt>
                <c:pt idx="5">
                  <c:v>197.89491300203434</c:v>
                </c:pt>
                <c:pt idx="6">
                  <c:v>197.89491300203434</c:v>
                </c:pt>
                <c:pt idx="7">
                  <c:v>197.89491300203434</c:v>
                </c:pt>
                <c:pt idx="8">
                  <c:v>197.89491300203434</c:v>
                </c:pt>
                <c:pt idx="9">
                  <c:v>197.89491300203434</c:v>
                </c:pt>
                <c:pt idx="10">
                  <c:v>197.89491300203434</c:v>
                </c:pt>
                <c:pt idx="11">
                  <c:v>197.89491300203434</c:v>
                </c:pt>
                <c:pt idx="12">
                  <c:v>197.89491300203434</c:v>
                </c:pt>
                <c:pt idx="13">
                  <c:v>197.89491300203434</c:v>
                </c:pt>
                <c:pt idx="14">
                  <c:v>197.89491300203434</c:v>
                </c:pt>
                <c:pt idx="15">
                  <c:v>197.89491300203434</c:v>
                </c:pt>
                <c:pt idx="16">
                  <c:v>197.89491300203434</c:v>
                </c:pt>
                <c:pt idx="17">
                  <c:v>197.89491300203434</c:v>
                </c:pt>
                <c:pt idx="18">
                  <c:v>197.89491300203434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F61-4A70-BC91-712061D6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max=2.8,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Sheet1!$P$20:$P$38</c:f>
              <c:numCache>
                <c:formatCode>General</c:formatCode>
                <c:ptCount val="19"/>
                <c:pt idx="0">
                  <c:v>137.3787014937042</c:v>
                </c:pt>
                <c:pt idx="1">
                  <c:v>137.3787014937042</c:v>
                </c:pt>
                <c:pt idx="2">
                  <c:v>137.3787014937042</c:v>
                </c:pt>
                <c:pt idx="3">
                  <c:v>137.3787014937042</c:v>
                </c:pt>
                <c:pt idx="4">
                  <c:v>137.3787014937042</c:v>
                </c:pt>
                <c:pt idx="5">
                  <c:v>137.3787014937042</c:v>
                </c:pt>
                <c:pt idx="6">
                  <c:v>137.3787014937042</c:v>
                </c:pt>
                <c:pt idx="7">
                  <c:v>137.3787014937042</c:v>
                </c:pt>
                <c:pt idx="8">
                  <c:v>137.3787014937042</c:v>
                </c:pt>
                <c:pt idx="9">
                  <c:v>137.3787014937042</c:v>
                </c:pt>
                <c:pt idx="10">
                  <c:v>137.3787014937042</c:v>
                </c:pt>
                <c:pt idx="11">
                  <c:v>137.3787014937042</c:v>
                </c:pt>
                <c:pt idx="12">
                  <c:v>137.3787014937042</c:v>
                </c:pt>
                <c:pt idx="13">
                  <c:v>137.3787014937042</c:v>
                </c:pt>
                <c:pt idx="14">
                  <c:v>137.3787014937042</c:v>
                </c:pt>
                <c:pt idx="15">
                  <c:v>137.3787014937042</c:v>
                </c:pt>
                <c:pt idx="16">
                  <c:v>137.3787014937042</c:v>
                </c:pt>
                <c:pt idx="17">
                  <c:v>137.3787014937042</c:v>
                </c:pt>
                <c:pt idx="18">
                  <c:v>137.3787014937042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8-4DAE-81B4-4E7F97E539E7}"/>
            </c:ext>
          </c:extLst>
        </c:ser>
        <c:ser>
          <c:idx val="0"/>
          <c:order val="1"/>
          <c:tx>
            <c:v>CL max=2.8,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Sheet1!$S$20:$S$38</c:f>
              <c:numCache>
                <c:formatCode>General</c:formatCode>
                <c:ptCount val="19"/>
                <c:pt idx="0">
                  <c:v>118.21013653793032</c:v>
                </c:pt>
                <c:pt idx="1">
                  <c:v>118.21013653793032</c:v>
                </c:pt>
                <c:pt idx="2">
                  <c:v>118.21013653793032</c:v>
                </c:pt>
                <c:pt idx="3">
                  <c:v>118.21013653793032</c:v>
                </c:pt>
                <c:pt idx="4">
                  <c:v>118.21013653793032</c:v>
                </c:pt>
                <c:pt idx="5">
                  <c:v>118.21013653793032</c:v>
                </c:pt>
                <c:pt idx="6">
                  <c:v>118.21013653793032</c:v>
                </c:pt>
                <c:pt idx="7">
                  <c:v>118.21013653793032</c:v>
                </c:pt>
                <c:pt idx="8">
                  <c:v>118.21013653793032</c:v>
                </c:pt>
                <c:pt idx="9">
                  <c:v>118.21013653793032</c:v>
                </c:pt>
                <c:pt idx="10">
                  <c:v>118.21013653793032</c:v>
                </c:pt>
                <c:pt idx="11">
                  <c:v>118.21013653793032</c:v>
                </c:pt>
                <c:pt idx="12">
                  <c:v>118.21013653793032</c:v>
                </c:pt>
                <c:pt idx="13">
                  <c:v>118.21013653793032</c:v>
                </c:pt>
                <c:pt idx="14">
                  <c:v>118.21013653793032</c:v>
                </c:pt>
                <c:pt idx="15">
                  <c:v>118.21013653793032</c:v>
                </c:pt>
                <c:pt idx="16">
                  <c:v>118.21013653793032</c:v>
                </c:pt>
                <c:pt idx="17">
                  <c:v>118.21013653793032</c:v>
                </c:pt>
                <c:pt idx="18">
                  <c:v>118.21013653793032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8-4DAE-81B4-4E7F97E539E7}"/>
            </c:ext>
          </c:extLst>
        </c:ser>
        <c:ser>
          <c:idx val="1"/>
          <c:order val="2"/>
          <c:tx>
            <c:v>CL max=2.8,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Sheet1!$X$20:$X$38</c:f>
              <c:numCache>
                <c:formatCode>General</c:formatCode>
                <c:ptCount val="19"/>
                <c:pt idx="0">
                  <c:v>214.65257135760595</c:v>
                </c:pt>
                <c:pt idx="1">
                  <c:v>214.65257135760595</c:v>
                </c:pt>
                <c:pt idx="2">
                  <c:v>214.65257135760595</c:v>
                </c:pt>
                <c:pt idx="3">
                  <c:v>214.65257135760595</c:v>
                </c:pt>
                <c:pt idx="4">
                  <c:v>214.65257135760595</c:v>
                </c:pt>
                <c:pt idx="5">
                  <c:v>214.65257135760595</c:v>
                </c:pt>
                <c:pt idx="6">
                  <c:v>214.65257135760595</c:v>
                </c:pt>
                <c:pt idx="7">
                  <c:v>214.65257135760595</c:v>
                </c:pt>
                <c:pt idx="8">
                  <c:v>214.65257135760595</c:v>
                </c:pt>
                <c:pt idx="9">
                  <c:v>214.65257135760595</c:v>
                </c:pt>
                <c:pt idx="10">
                  <c:v>214.65257135760595</c:v>
                </c:pt>
                <c:pt idx="11">
                  <c:v>214.65257135760595</c:v>
                </c:pt>
                <c:pt idx="12">
                  <c:v>214.65257135760595</c:v>
                </c:pt>
                <c:pt idx="13">
                  <c:v>214.65257135760595</c:v>
                </c:pt>
                <c:pt idx="14">
                  <c:v>214.65257135760595</c:v>
                </c:pt>
                <c:pt idx="15">
                  <c:v>214.65257135760595</c:v>
                </c:pt>
                <c:pt idx="16">
                  <c:v>214.65257135760595</c:v>
                </c:pt>
                <c:pt idx="17">
                  <c:v>214.65257135760595</c:v>
                </c:pt>
                <c:pt idx="18">
                  <c:v>214.65257135760595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8-4DAE-81B4-4E7F97E539E7}"/>
            </c:ext>
          </c:extLst>
        </c:ser>
        <c:ser>
          <c:idx val="2"/>
          <c:order val="3"/>
          <c:tx>
            <c:v>CL max=2.8,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Sheet1!$AA$20:$AA$38</c:f>
              <c:numCache>
                <c:formatCode>General</c:formatCode>
                <c:ptCount val="19"/>
                <c:pt idx="0">
                  <c:v>184.70191880189873</c:v>
                </c:pt>
                <c:pt idx="1">
                  <c:v>184.70191880189873</c:v>
                </c:pt>
                <c:pt idx="2">
                  <c:v>184.70191880189873</c:v>
                </c:pt>
                <c:pt idx="3">
                  <c:v>184.70191880189873</c:v>
                </c:pt>
                <c:pt idx="4">
                  <c:v>184.70191880189873</c:v>
                </c:pt>
                <c:pt idx="5">
                  <c:v>184.70191880189873</c:v>
                </c:pt>
                <c:pt idx="6">
                  <c:v>184.70191880189873</c:v>
                </c:pt>
                <c:pt idx="7">
                  <c:v>184.70191880189873</c:v>
                </c:pt>
                <c:pt idx="8">
                  <c:v>184.70191880189873</c:v>
                </c:pt>
                <c:pt idx="9">
                  <c:v>184.70191880189873</c:v>
                </c:pt>
                <c:pt idx="10">
                  <c:v>184.70191880189873</c:v>
                </c:pt>
                <c:pt idx="11">
                  <c:v>184.70191880189873</c:v>
                </c:pt>
                <c:pt idx="12">
                  <c:v>184.70191880189873</c:v>
                </c:pt>
                <c:pt idx="13">
                  <c:v>184.70191880189873</c:v>
                </c:pt>
                <c:pt idx="14">
                  <c:v>184.70191880189873</c:v>
                </c:pt>
                <c:pt idx="15">
                  <c:v>184.70191880189873</c:v>
                </c:pt>
                <c:pt idx="16">
                  <c:v>184.70191880189873</c:v>
                </c:pt>
                <c:pt idx="17">
                  <c:v>184.70191880189873</c:v>
                </c:pt>
                <c:pt idx="18">
                  <c:v>184.70191880189873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8-4DAE-81B4-4E7F97E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7"/>
          <c:order val="0"/>
          <c:tx>
            <c:v>CL max=2.7, for 50 seat, at sea level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Sheet1!$Q$20:$Q$38</c:f>
              <c:numCache>
                <c:formatCode>General</c:formatCode>
                <c:ptCount val="19"/>
                <c:pt idx="0">
                  <c:v>132.47231929750049</c:v>
                </c:pt>
                <c:pt idx="1">
                  <c:v>132.47231929750049</c:v>
                </c:pt>
                <c:pt idx="2">
                  <c:v>132.47231929750049</c:v>
                </c:pt>
                <c:pt idx="3">
                  <c:v>132.47231929750049</c:v>
                </c:pt>
                <c:pt idx="4">
                  <c:v>132.47231929750049</c:v>
                </c:pt>
                <c:pt idx="5">
                  <c:v>132.47231929750049</c:v>
                </c:pt>
                <c:pt idx="6">
                  <c:v>132.47231929750049</c:v>
                </c:pt>
                <c:pt idx="7">
                  <c:v>132.47231929750049</c:v>
                </c:pt>
                <c:pt idx="8">
                  <c:v>132.47231929750049</c:v>
                </c:pt>
                <c:pt idx="9">
                  <c:v>132.47231929750049</c:v>
                </c:pt>
                <c:pt idx="10">
                  <c:v>132.47231929750049</c:v>
                </c:pt>
                <c:pt idx="11">
                  <c:v>132.47231929750049</c:v>
                </c:pt>
                <c:pt idx="12">
                  <c:v>132.47231929750049</c:v>
                </c:pt>
                <c:pt idx="13">
                  <c:v>132.47231929750049</c:v>
                </c:pt>
                <c:pt idx="14">
                  <c:v>132.47231929750049</c:v>
                </c:pt>
                <c:pt idx="15">
                  <c:v>132.47231929750049</c:v>
                </c:pt>
                <c:pt idx="16">
                  <c:v>132.47231929750049</c:v>
                </c:pt>
                <c:pt idx="17">
                  <c:v>132.47231929750049</c:v>
                </c:pt>
                <c:pt idx="18">
                  <c:v>132.47231929750049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F-45D1-9D00-4375852FA935}"/>
            </c:ext>
          </c:extLst>
        </c:ser>
        <c:ser>
          <c:idx val="0"/>
          <c:order val="1"/>
          <c:tx>
            <c:v>CL max=2.7, for 50 seat, at 5000ft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Sheet1!$T$20:$T$38</c:f>
              <c:numCache>
                <c:formatCode>General</c:formatCode>
                <c:ptCount val="19"/>
                <c:pt idx="0">
                  <c:v>113.98834594728997</c:v>
                </c:pt>
                <c:pt idx="1">
                  <c:v>113.98834594728997</c:v>
                </c:pt>
                <c:pt idx="2">
                  <c:v>113.98834594728997</c:v>
                </c:pt>
                <c:pt idx="3">
                  <c:v>113.98834594728997</c:v>
                </c:pt>
                <c:pt idx="4">
                  <c:v>113.98834594728997</c:v>
                </c:pt>
                <c:pt idx="5">
                  <c:v>113.98834594728997</c:v>
                </c:pt>
                <c:pt idx="6">
                  <c:v>113.98834594728997</c:v>
                </c:pt>
                <c:pt idx="7">
                  <c:v>113.98834594728997</c:v>
                </c:pt>
                <c:pt idx="8">
                  <c:v>113.98834594728997</c:v>
                </c:pt>
                <c:pt idx="9">
                  <c:v>113.98834594728997</c:v>
                </c:pt>
                <c:pt idx="10">
                  <c:v>113.98834594728997</c:v>
                </c:pt>
                <c:pt idx="11">
                  <c:v>113.98834594728997</c:v>
                </c:pt>
                <c:pt idx="12">
                  <c:v>113.98834594728997</c:v>
                </c:pt>
                <c:pt idx="13">
                  <c:v>113.98834594728997</c:v>
                </c:pt>
                <c:pt idx="14">
                  <c:v>113.98834594728997</c:v>
                </c:pt>
                <c:pt idx="15">
                  <c:v>113.98834594728997</c:v>
                </c:pt>
                <c:pt idx="16">
                  <c:v>113.98834594728997</c:v>
                </c:pt>
                <c:pt idx="17">
                  <c:v>113.98834594728997</c:v>
                </c:pt>
                <c:pt idx="18">
                  <c:v>113.98834594728997</c:v>
                </c:pt>
              </c:numCache>
            </c:numRef>
          </c:xVal>
          <c:yVal>
            <c:numRef>
              <c:f>Sheet1!$N$20:$N$38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DF-45D1-9D00-4375852FA935}"/>
            </c:ext>
          </c:extLst>
        </c:ser>
        <c:ser>
          <c:idx val="1"/>
          <c:order val="2"/>
          <c:tx>
            <c:v>CL max=2.7, for 76 seat,at seat 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Sheet1!$Y$20:$Y$38</c:f>
              <c:numCache>
                <c:formatCode>General</c:formatCode>
                <c:ptCount val="19"/>
                <c:pt idx="0">
                  <c:v>206.98640809483433</c:v>
                </c:pt>
                <c:pt idx="1">
                  <c:v>206.98640809483433</c:v>
                </c:pt>
                <c:pt idx="2">
                  <c:v>206.98640809483433</c:v>
                </c:pt>
                <c:pt idx="3">
                  <c:v>206.98640809483433</c:v>
                </c:pt>
                <c:pt idx="4">
                  <c:v>206.98640809483433</c:v>
                </c:pt>
                <c:pt idx="5">
                  <c:v>206.98640809483433</c:v>
                </c:pt>
                <c:pt idx="6">
                  <c:v>206.98640809483433</c:v>
                </c:pt>
                <c:pt idx="7">
                  <c:v>206.98640809483433</c:v>
                </c:pt>
                <c:pt idx="8">
                  <c:v>206.98640809483433</c:v>
                </c:pt>
                <c:pt idx="9">
                  <c:v>206.98640809483433</c:v>
                </c:pt>
                <c:pt idx="10">
                  <c:v>206.98640809483433</c:v>
                </c:pt>
                <c:pt idx="11">
                  <c:v>206.98640809483433</c:v>
                </c:pt>
                <c:pt idx="12">
                  <c:v>206.98640809483433</c:v>
                </c:pt>
                <c:pt idx="13">
                  <c:v>206.98640809483433</c:v>
                </c:pt>
                <c:pt idx="14">
                  <c:v>206.98640809483433</c:v>
                </c:pt>
                <c:pt idx="15">
                  <c:v>206.98640809483433</c:v>
                </c:pt>
                <c:pt idx="16">
                  <c:v>206.98640809483433</c:v>
                </c:pt>
                <c:pt idx="17">
                  <c:v>206.98640809483433</c:v>
                </c:pt>
                <c:pt idx="18">
                  <c:v>206.98640809483433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DF-45D1-9D00-4375852FA935}"/>
            </c:ext>
          </c:extLst>
        </c:ser>
        <c:ser>
          <c:idx val="2"/>
          <c:order val="3"/>
          <c:tx>
            <c:v>CL max=2.7, 76 seat, at 5000ft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Sheet1!$AB$20:$AB$38</c:f>
              <c:numCache>
                <c:formatCode>General</c:formatCode>
                <c:ptCount val="19"/>
                <c:pt idx="0">
                  <c:v>178.10542170183092</c:v>
                </c:pt>
                <c:pt idx="1">
                  <c:v>178.10542170183092</c:v>
                </c:pt>
                <c:pt idx="2">
                  <c:v>178.10542170183092</c:v>
                </c:pt>
                <c:pt idx="3">
                  <c:v>178.10542170183092</c:v>
                </c:pt>
                <c:pt idx="4">
                  <c:v>178.10542170183092</c:v>
                </c:pt>
                <c:pt idx="5">
                  <c:v>178.10542170183092</c:v>
                </c:pt>
                <c:pt idx="6">
                  <c:v>178.10542170183092</c:v>
                </c:pt>
                <c:pt idx="7">
                  <c:v>178.10542170183092</c:v>
                </c:pt>
                <c:pt idx="8">
                  <c:v>178.10542170183092</c:v>
                </c:pt>
                <c:pt idx="9">
                  <c:v>178.10542170183092</c:v>
                </c:pt>
                <c:pt idx="10">
                  <c:v>178.10542170183092</c:v>
                </c:pt>
                <c:pt idx="11">
                  <c:v>178.10542170183092</c:v>
                </c:pt>
                <c:pt idx="12">
                  <c:v>178.10542170183092</c:v>
                </c:pt>
                <c:pt idx="13">
                  <c:v>178.10542170183092</c:v>
                </c:pt>
                <c:pt idx="14">
                  <c:v>178.10542170183092</c:v>
                </c:pt>
                <c:pt idx="15">
                  <c:v>178.10542170183092</c:v>
                </c:pt>
                <c:pt idx="16">
                  <c:v>178.10542170183092</c:v>
                </c:pt>
                <c:pt idx="17">
                  <c:v>178.10542170183092</c:v>
                </c:pt>
                <c:pt idx="18">
                  <c:v>178.10542170183092</c:v>
                </c:pt>
              </c:numCache>
            </c:numRef>
          </c:xVal>
          <c:yVal>
            <c:numRef>
              <c:f>Sheet1!$V$20:$V$38</c:f>
              <c:numCache>
                <c:formatCode>General</c:formatCode>
                <c:ptCount val="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DF-45D1-9D00-4375852F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40239"/>
        <c:axId val="871643567"/>
      </c:scatterChart>
      <c:valAx>
        <c:axId val="8716402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</a:t>
                </a:r>
                <a:r>
                  <a:rPr lang="en-US" sz="1400" baseline="0"/>
                  <a:t>    lb/ft^2 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3567"/>
        <c:crosses val="autoZero"/>
        <c:crossBetween val="midCat"/>
      </c:valAx>
      <c:valAx>
        <c:axId val="8716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</a:t>
                </a:r>
                <a:r>
                  <a:rPr lang="en-US" sz="1400" baseline="0"/>
                  <a:t>   lb/lb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4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39</xdr:row>
      <xdr:rowOff>106680</xdr:rowOff>
    </xdr:from>
    <xdr:to>
      <xdr:col>19</xdr:col>
      <xdr:colOff>815340</xdr:colOff>
      <xdr:row>61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531629</xdr:colOff>
      <xdr:row>39</xdr:row>
      <xdr:rowOff>177210</xdr:rowOff>
    </xdr:from>
    <xdr:to>
      <xdr:col>27</xdr:col>
      <xdr:colOff>826859</xdr:colOff>
      <xdr:row>61</xdr:row>
      <xdr:rowOff>85770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327837</xdr:colOff>
      <xdr:row>17</xdr:row>
      <xdr:rowOff>115187</xdr:rowOff>
    </xdr:from>
    <xdr:to>
      <xdr:col>39</xdr:col>
      <xdr:colOff>312951</xdr:colOff>
      <xdr:row>39</xdr:row>
      <xdr:rowOff>23747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B60"/>
  <sheetViews>
    <sheetView tabSelected="1" topLeftCell="P31" zoomScale="92" zoomScaleNormal="90" workbookViewId="0">
      <selection activeCell="AC46" sqref="AC46"/>
    </sheetView>
  </sheetViews>
  <sheetFormatPr defaultRowHeight="14.4" x14ac:dyDescent="0.3"/>
  <cols>
    <col min="3" max="3" width="28.44140625" bestFit="1" customWidth="1"/>
    <col min="4" max="4" width="20.88671875" customWidth="1"/>
    <col min="5" max="5" width="10.5546875" customWidth="1"/>
    <col min="6" max="6" width="14.109375" bestFit="1" customWidth="1"/>
    <col min="7" max="7" width="35.21875" bestFit="1" customWidth="1"/>
    <col min="9" max="9" width="12" customWidth="1"/>
    <col min="12" max="12" width="14.6640625" bestFit="1" customWidth="1"/>
    <col min="15" max="15" width="10.6640625" bestFit="1" customWidth="1"/>
    <col min="16" max="16" width="13.44140625" bestFit="1" customWidth="1"/>
    <col min="17" max="17" width="10.6640625" bestFit="1" customWidth="1"/>
    <col min="18" max="18" width="17.77734375" bestFit="1" customWidth="1"/>
    <col min="19" max="19" width="20.44140625" bestFit="1" customWidth="1"/>
    <col min="20" max="20" width="17.44140625" bestFit="1" customWidth="1"/>
    <col min="23" max="23" width="12" bestFit="1" customWidth="1"/>
    <col min="24" max="24" width="13.44140625" bestFit="1" customWidth="1"/>
    <col min="25" max="25" width="12" bestFit="1" customWidth="1"/>
    <col min="26" max="26" width="17.77734375" bestFit="1" customWidth="1"/>
    <col min="27" max="27" width="20.44140625" bestFit="1" customWidth="1"/>
    <col min="28" max="28" width="17.44140625" bestFit="1" customWidth="1"/>
  </cols>
  <sheetData>
    <row r="7" spans="3:6" x14ac:dyDescent="0.3">
      <c r="D7" s="18" t="s">
        <v>4</v>
      </c>
      <c r="E7" s="18"/>
    </row>
    <row r="9" spans="3:6" x14ac:dyDescent="0.3">
      <c r="C9" s="2" t="s">
        <v>2</v>
      </c>
      <c r="D9" s="2" t="s">
        <v>0</v>
      </c>
      <c r="E9" s="2">
        <f>42.549/48.5</f>
        <v>0.87729896907216498</v>
      </c>
      <c r="F9" s="2" t="s">
        <v>5</v>
      </c>
    </row>
    <row r="10" spans="3:6" x14ac:dyDescent="0.3">
      <c r="C10" s="2" t="s">
        <v>1</v>
      </c>
      <c r="D10" s="2" t="s">
        <v>0</v>
      </c>
      <c r="E10" s="2">
        <f>74957/89000</f>
        <v>0.84221348314606737</v>
      </c>
      <c r="F10" s="2" t="s">
        <v>5</v>
      </c>
    </row>
    <row r="11" spans="3:6" x14ac:dyDescent="0.3">
      <c r="C11" s="5"/>
      <c r="D11" s="5"/>
      <c r="E11" s="5"/>
      <c r="F11" s="5"/>
    </row>
    <row r="12" spans="3:6" x14ac:dyDescent="0.3">
      <c r="C12" s="6" t="s">
        <v>2</v>
      </c>
      <c r="D12" s="6" t="s">
        <v>47</v>
      </c>
      <c r="E12" s="6">
        <f>4000/0.6</f>
        <v>6666.666666666667</v>
      </c>
      <c r="F12" s="6" t="s">
        <v>18</v>
      </c>
    </row>
    <row r="13" spans="3:6" x14ac:dyDescent="0.3">
      <c r="C13" s="8" t="s">
        <v>1</v>
      </c>
      <c r="D13" s="8" t="s">
        <v>47</v>
      </c>
      <c r="E13" s="8">
        <f>6000/0.6</f>
        <v>10000</v>
      </c>
      <c r="F13" s="8" t="s">
        <v>18</v>
      </c>
    </row>
    <row r="14" spans="3:6" x14ac:dyDescent="0.3">
      <c r="C14" s="6" t="s">
        <v>2</v>
      </c>
      <c r="D14" s="7" t="s">
        <v>24</v>
      </c>
      <c r="E14" s="7">
        <f>SQRT(E12/0.3)</f>
        <v>149.07119849998597</v>
      </c>
      <c r="F14" s="6" t="s">
        <v>3</v>
      </c>
    </row>
    <row r="15" spans="3:6" x14ac:dyDescent="0.3">
      <c r="C15" s="8" t="s">
        <v>1</v>
      </c>
      <c r="D15" s="9" t="s">
        <v>25</v>
      </c>
      <c r="E15" s="9">
        <f>SQRT(E13/0.3)</f>
        <v>182.57418583505537</v>
      </c>
      <c r="F15" s="6" t="s">
        <v>3</v>
      </c>
    </row>
    <row r="16" spans="3:6" x14ac:dyDescent="0.3">
      <c r="C16" s="6" t="s">
        <v>2</v>
      </c>
      <c r="D16" s="6" t="s">
        <v>26</v>
      </c>
      <c r="E16" s="6">
        <f>E14/1.3</f>
        <v>114.6701526922969</v>
      </c>
      <c r="F16" s="5"/>
    </row>
    <row r="17" spans="3:28" x14ac:dyDescent="0.3">
      <c r="C17" s="8" t="s">
        <v>1</v>
      </c>
      <c r="D17" s="8" t="s">
        <v>26</v>
      </c>
      <c r="E17" s="8">
        <f>E15/1.3</f>
        <v>140.44168141158104</v>
      </c>
      <c r="K17">
        <f>1/K18</f>
        <v>0.87729896907216498</v>
      </c>
    </row>
    <row r="18" spans="3:28" x14ac:dyDescent="0.3">
      <c r="C18" s="2" t="s">
        <v>8</v>
      </c>
      <c r="D18" s="3" t="s">
        <v>7</v>
      </c>
      <c r="E18" s="2">
        <v>3</v>
      </c>
      <c r="K18">
        <f>48.5/42.549</f>
        <v>1.1398622764342288</v>
      </c>
    </row>
    <row r="19" spans="3:28" x14ac:dyDescent="0.3">
      <c r="C19" s="2" t="s">
        <v>9</v>
      </c>
      <c r="D19" s="3" t="s">
        <v>7</v>
      </c>
      <c r="E19" s="2">
        <v>2.8</v>
      </c>
      <c r="G19" s="1" t="s">
        <v>21</v>
      </c>
      <c r="N19" s="2" t="s">
        <v>27</v>
      </c>
      <c r="O19" s="2" t="s">
        <v>28</v>
      </c>
      <c r="P19" s="2" t="s">
        <v>29</v>
      </c>
      <c r="Q19" s="2" t="s">
        <v>30</v>
      </c>
      <c r="R19" s="2" t="s">
        <v>31</v>
      </c>
      <c r="S19" s="2" t="s">
        <v>32</v>
      </c>
      <c r="T19" s="2" t="s">
        <v>33</v>
      </c>
      <c r="V19" s="15" t="s">
        <v>27</v>
      </c>
      <c r="W19" s="15" t="s">
        <v>34</v>
      </c>
      <c r="X19" s="15" t="s">
        <v>35</v>
      </c>
      <c r="Y19" s="15" t="s">
        <v>36</v>
      </c>
      <c r="Z19" s="15" t="s">
        <v>37</v>
      </c>
      <c r="AA19" s="15" t="s">
        <v>38</v>
      </c>
      <c r="AB19" s="15" t="s">
        <v>39</v>
      </c>
    </row>
    <row r="20" spans="3:28" x14ac:dyDescent="0.3">
      <c r="C20" s="2" t="s">
        <v>10</v>
      </c>
      <c r="D20" s="3" t="s">
        <v>7</v>
      </c>
      <c r="E20" s="2">
        <v>2.7</v>
      </c>
      <c r="N20" s="2">
        <v>0</v>
      </c>
      <c r="O20" s="2">
        <f>E26</f>
        <v>147.19146588611167</v>
      </c>
      <c r="P20" s="2">
        <f>E29</f>
        <v>137.3787014937042</v>
      </c>
      <c r="Q20" s="2">
        <f>E32</f>
        <v>132.47231929750049</v>
      </c>
      <c r="R20" s="2">
        <f>I26</f>
        <v>126.65371771921107</v>
      </c>
      <c r="S20" s="2">
        <f>I29</f>
        <v>118.21013653793032</v>
      </c>
      <c r="T20" s="2">
        <f>I32</f>
        <v>113.98834594728997</v>
      </c>
      <c r="V20" s="15">
        <v>0</v>
      </c>
      <c r="W20" s="15">
        <f>E35</f>
        <v>229.9848978831493</v>
      </c>
      <c r="X20" s="15">
        <f>E38</f>
        <v>214.65257135760595</v>
      </c>
      <c r="Y20" s="15">
        <f>E41</f>
        <v>206.98640809483433</v>
      </c>
      <c r="Z20" s="15">
        <f>I35</f>
        <v>197.89491300203434</v>
      </c>
      <c r="AA20" s="15">
        <f>I38</f>
        <v>184.70191880189873</v>
      </c>
      <c r="AB20" s="15">
        <f>I41</f>
        <v>178.10542170183092</v>
      </c>
    </row>
    <row r="21" spans="3:28" x14ac:dyDescent="0.3">
      <c r="C21" s="3" t="s">
        <v>22</v>
      </c>
      <c r="D21" s="3" t="s">
        <v>19</v>
      </c>
      <c r="E21" s="2">
        <v>2.2977000000000002E-3</v>
      </c>
      <c r="F21" s="16" t="s">
        <v>48</v>
      </c>
      <c r="N21" s="2">
        <v>0.05</v>
      </c>
      <c r="O21" s="2">
        <f>O20</f>
        <v>147.19146588611167</v>
      </c>
      <c r="P21" s="2">
        <f t="shared" ref="P21:T21" si="0">P20</f>
        <v>137.3787014937042</v>
      </c>
      <c r="Q21" s="2">
        <f t="shared" si="0"/>
        <v>132.47231929750049</v>
      </c>
      <c r="R21" s="2">
        <f t="shared" si="0"/>
        <v>126.65371771921107</v>
      </c>
      <c r="S21" s="2">
        <f t="shared" si="0"/>
        <v>118.21013653793032</v>
      </c>
      <c r="T21" s="2">
        <f t="shared" si="0"/>
        <v>113.98834594728997</v>
      </c>
      <c r="V21" s="15">
        <v>0.05</v>
      </c>
      <c r="W21" s="15">
        <f>W20</f>
        <v>229.9848978831493</v>
      </c>
      <c r="X21" s="15">
        <f t="shared" ref="X21:AB21" si="1">X20</f>
        <v>214.65257135760595</v>
      </c>
      <c r="Y21" s="15">
        <f t="shared" si="1"/>
        <v>206.98640809483433</v>
      </c>
      <c r="Z21" s="15">
        <f t="shared" si="1"/>
        <v>197.89491300203434</v>
      </c>
      <c r="AA21" s="15">
        <f t="shared" si="1"/>
        <v>184.70191880189873</v>
      </c>
      <c r="AB21" s="15">
        <f t="shared" si="1"/>
        <v>178.10542170183092</v>
      </c>
    </row>
    <row r="22" spans="3:28" x14ac:dyDescent="0.3">
      <c r="C22" s="3" t="s">
        <v>22</v>
      </c>
      <c r="D22" s="3" t="s">
        <v>20</v>
      </c>
      <c r="E22" s="10">
        <v>1.9770999999999999E-3</v>
      </c>
      <c r="F22" s="16" t="s">
        <v>48</v>
      </c>
      <c r="N22" s="2">
        <v>0.1</v>
      </c>
      <c r="O22" s="2">
        <f t="shared" ref="O22:O38" si="2">O21</f>
        <v>147.19146588611167</v>
      </c>
      <c r="P22" s="2">
        <f t="shared" ref="P22:P38" si="3">P21</f>
        <v>137.3787014937042</v>
      </c>
      <c r="Q22" s="2">
        <f t="shared" ref="Q22:Q38" si="4">Q21</f>
        <v>132.47231929750049</v>
      </c>
      <c r="R22" s="2">
        <f t="shared" ref="R22:R38" si="5">R21</f>
        <v>126.65371771921107</v>
      </c>
      <c r="S22" s="2">
        <f t="shared" ref="S22:S38" si="6">S21</f>
        <v>118.21013653793032</v>
      </c>
      <c r="T22" s="2">
        <f t="shared" ref="T22:T38" si="7">T21</f>
        <v>113.98834594728997</v>
      </c>
      <c r="V22" s="15">
        <v>0.1</v>
      </c>
      <c r="W22" s="15">
        <f t="shared" ref="W22:W38" si="8">W21</f>
        <v>229.9848978831493</v>
      </c>
      <c r="X22" s="15">
        <f t="shared" ref="X22:X38" si="9">X21</f>
        <v>214.65257135760595</v>
      </c>
      <c r="Y22" s="15">
        <f t="shared" ref="Y22:Y38" si="10">Y21</f>
        <v>206.98640809483433</v>
      </c>
      <c r="Z22" s="15">
        <f t="shared" ref="Z22:Z38" si="11">Z21</f>
        <v>197.89491300203434</v>
      </c>
      <c r="AA22" s="15">
        <f t="shared" ref="AA22:AA38" si="12">AA21</f>
        <v>184.70191880189873</v>
      </c>
      <c r="AB22" s="15">
        <f t="shared" ref="AB22:AB38" si="13">AB21</f>
        <v>178.10542170183092</v>
      </c>
    </row>
    <row r="23" spans="3:28" x14ac:dyDescent="0.3">
      <c r="N23" s="2">
        <v>0.15</v>
      </c>
      <c r="O23" s="2">
        <f t="shared" si="2"/>
        <v>147.19146588611167</v>
      </c>
      <c r="P23" s="2">
        <f t="shared" si="3"/>
        <v>137.3787014937042</v>
      </c>
      <c r="Q23" s="2">
        <f t="shared" si="4"/>
        <v>132.47231929750049</v>
      </c>
      <c r="R23" s="2">
        <f t="shared" si="5"/>
        <v>126.65371771921107</v>
      </c>
      <c r="S23" s="2">
        <f t="shared" si="6"/>
        <v>118.21013653793032</v>
      </c>
      <c r="T23" s="2">
        <f t="shared" si="7"/>
        <v>113.98834594728997</v>
      </c>
      <c r="V23" s="15">
        <v>0.15</v>
      </c>
      <c r="W23" s="15">
        <f t="shared" si="8"/>
        <v>229.9848978831493</v>
      </c>
      <c r="X23" s="15">
        <f t="shared" si="9"/>
        <v>214.65257135760595</v>
      </c>
      <c r="Y23" s="15">
        <f t="shared" si="10"/>
        <v>206.98640809483433</v>
      </c>
      <c r="Z23" s="15">
        <f t="shared" si="11"/>
        <v>197.89491300203434</v>
      </c>
      <c r="AA23" s="15">
        <f t="shared" si="12"/>
        <v>184.70191880189873</v>
      </c>
      <c r="AB23" s="15">
        <f t="shared" si="13"/>
        <v>178.10542170183092</v>
      </c>
    </row>
    <row r="24" spans="3:28" x14ac:dyDescent="0.3">
      <c r="N24" s="2">
        <v>0.2</v>
      </c>
      <c r="O24" s="2">
        <f t="shared" si="2"/>
        <v>147.19146588611167</v>
      </c>
      <c r="P24" s="2">
        <f t="shared" si="3"/>
        <v>137.3787014937042</v>
      </c>
      <c r="Q24" s="2">
        <f t="shared" si="4"/>
        <v>132.47231929750049</v>
      </c>
      <c r="R24" s="2">
        <f t="shared" si="5"/>
        <v>126.65371771921107</v>
      </c>
      <c r="S24" s="2">
        <f t="shared" si="6"/>
        <v>118.21013653793032</v>
      </c>
      <c r="T24" s="2">
        <f t="shared" si="7"/>
        <v>113.98834594728997</v>
      </c>
      <c r="V24" s="15">
        <v>0.2</v>
      </c>
      <c r="W24" s="15">
        <f t="shared" si="8"/>
        <v>229.9848978831493</v>
      </c>
      <c r="X24" s="15">
        <f t="shared" si="9"/>
        <v>214.65257135760595</v>
      </c>
      <c r="Y24" s="15">
        <f t="shared" si="10"/>
        <v>206.98640809483433</v>
      </c>
      <c r="Z24" s="15">
        <f t="shared" si="11"/>
        <v>197.89491300203434</v>
      </c>
      <c r="AA24" s="15">
        <f t="shared" si="12"/>
        <v>184.70191880189873</v>
      </c>
      <c r="AB24" s="15">
        <f t="shared" si="13"/>
        <v>178.10542170183092</v>
      </c>
    </row>
    <row r="25" spans="3:28" x14ac:dyDescent="0.3">
      <c r="C25" s="6" t="s">
        <v>13</v>
      </c>
      <c r="D25" s="6" t="s">
        <v>6</v>
      </c>
      <c r="E25" s="6">
        <f>E16^2*ro*E18*1.688^2/2</f>
        <v>129.13092127810651</v>
      </c>
      <c r="G25" s="6" t="s">
        <v>40</v>
      </c>
      <c r="H25" s="6" t="s">
        <v>6</v>
      </c>
      <c r="I25" s="11">
        <f>E16^2*E22*E18*1.688^2/2</f>
        <v>111.11317598422087</v>
      </c>
      <c r="J25" s="18" t="s">
        <v>23</v>
      </c>
      <c r="K25" s="18"/>
      <c r="N25" s="2">
        <v>0.25</v>
      </c>
      <c r="O25" s="2">
        <f t="shared" si="2"/>
        <v>147.19146588611167</v>
      </c>
      <c r="P25" s="2">
        <f t="shared" si="3"/>
        <v>137.3787014937042</v>
      </c>
      <c r="Q25" s="2">
        <f t="shared" si="4"/>
        <v>132.47231929750049</v>
      </c>
      <c r="R25" s="2">
        <f t="shared" si="5"/>
        <v>126.65371771921107</v>
      </c>
      <c r="S25" s="2">
        <f t="shared" si="6"/>
        <v>118.21013653793032</v>
      </c>
      <c r="T25" s="2">
        <f t="shared" si="7"/>
        <v>113.98834594728997</v>
      </c>
      <c r="V25" s="15">
        <v>0.25</v>
      </c>
      <c r="W25" s="15">
        <f t="shared" si="8"/>
        <v>229.9848978831493</v>
      </c>
      <c r="X25" s="15">
        <f t="shared" si="9"/>
        <v>214.65257135760595</v>
      </c>
      <c r="Y25" s="15">
        <f t="shared" si="10"/>
        <v>206.98640809483433</v>
      </c>
      <c r="Z25" s="15">
        <f t="shared" si="11"/>
        <v>197.89491300203434</v>
      </c>
      <c r="AA25" s="15">
        <f t="shared" si="12"/>
        <v>184.70191880189873</v>
      </c>
      <c r="AB25" s="15">
        <f t="shared" si="13"/>
        <v>178.10542170183092</v>
      </c>
    </row>
    <row r="26" spans="3:28" x14ac:dyDescent="0.3">
      <c r="D26" s="2" t="s">
        <v>11</v>
      </c>
      <c r="E26" s="4">
        <f>E25/E9</f>
        <v>147.19146588611167</v>
      </c>
      <c r="H26" s="2" t="s">
        <v>11</v>
      </c>
      <c r="I26" s="12">
        <f>I25/E9</f>
        <v>126.65371771921107</v>
      </c>
      <c r="N26" s="2">
        <v>0.3</v>
      </c>
      <c r="O26" s="2">
        <f t="shared" si="2"/>
        <v>147.19146588611167</v>
      </c>
      <c r="P26" s="2">
        <f t="shared" si="3"/>
        <v>137.3787014937042</v>
      </c>
      <c r="Q26" s="2">
        <f t="shared" si="4"/>
        <v>132.47231929750049</v>
      </c>
      <c r="R26" s="2">
        <f t="shared" si="5"/>
        <v>126.65371771921107</v>
      </c>
      <c r="S26" s="2">
        <f t="shared" si="6"/>
        <v>118.21013653793032</v>
      </c>
      <c r="T26" s="2">
        <f t="shared" si="7"/>
        <v>113.98834594728997</v>
      </c>
      <c r="V26" s="15">
        <v>0.3</v>
      </c>
      <c r="W26" s="15">
        <f t="shared" si="8"/>
        <v>229.9848978831493</v>
      </c>
      <c r="X26" s="15">
        <f t="shared" si="9"/>
        <v>214.65257135760595</v>
      </c>
      <c r="Y26" s="15">
        <f t="shared" si="10"/>
        <v>206.98640809483433</v>
      </c>
      <c r="Z26" s="15">
        <f t="shared" si="11"/>
        <v>197.89491300203434</v>
      </c>
      <c r="AA26" s="15">
        <f t="shared" si="12"/>
        <v>184.70191880189873</v>
      </c>
      <c r="AB26" s="15">
        <f t="shared" si="13"/>
        <v>178.10542170183092</v>
      </c>
    </row>
    <row r="27" spans="3:28" x14ac:dyDescent="0.3">
      <c r="I27" s="13"/>
      <c r="N27" s="2">
        <v>0.35</v>
      </c>
      <c r="O27" s="2">
        <f t="shared" si="2"/>
        <v>147.19146588611167</v>
      </c>
      <c r="P27" s="2">
        <f t="shared" si="3"/>
        <v>137.3787014937042</v>
      </c>
      <c r="Q27" s="2">
        <f t="shared" si="4"/>
        <v>132.47231929750049</v>
      </c>
      <c r="R27" s="2">
        <f t="shared" si="5"/>
        <v>126.65371771921107</v>
      </c>
      <c r="S27" s="2">
        <f t="shared" si="6"/>
        <v>118.21013653793032</v>
      </c>
      <c r="T27" s="2">
        <f t="shared" si="7"/>
        <v>113.98834594728997</v>
      </c>
      <c r="V27" s="15">
        <v>0.35</v>
      </c>
      <c r="W27" s="15">
        <f t="shared" si="8"/>
        <v>229.9848978831493</v>
      </c>
      <c r="X27" s="15">
        <f t="shared" si="9"/>
        <v>214.65257135760595</v>
      </c>
      <c r="Y27" s="15">
        <f t="shared" si="10"/>
        <v>206.98640809483433</v>
      </c>
      <c r="Z27" s="15">
        <f t="shared" si="11"/>
        <v>197.89491300203434</v>
      </c>
      <c r="AA27" s="15">
        <f t="shared" si="12"/>
        <v>184.70191880189873</v>
      </c>
      <c r="AB27" s="15">
        <f t="shared" si="13"/>
        <v>178.10542170183092</v>
      </c>
    </row>
    <row r="28" spans="3:28" x14ac:dyDescent="0.3">
      <c r="C28" s="6" t="s">
        <v>12</v>
      </c>
      <c r="D28" s="6" t="s">
        <v>6</v>
      </c>
      <c r="E28" s="6">
        <f>E16^2*ro*CL_max*1.688^2/2</f>
        <v>120.52219319289939</v>
      </c>
      <c r="G28" s="6" t="s">
        <v>41</v>
      </c>
      <c r="H28" s="6" t="s">
        <v>6</v>
      </c>
      <c r="I28" s="11">
        <f>E16^2*E22*CL_max*1.688^2/2</f>
        <v>103.70563091860613</v>
      </c>
      <c r="J28" s="18" t="s">
        <v>23</v>
      </c>
      <c r="K28" s="18"/>
      <c r="N28" s="2">
        <v>0.4</v>
      </c>
      <c r="O28" s="2">
        <f t="shared" si="2"/>
        <v>147.19146588611167</v>
      </c>
      <c r="P28" s="2">
        <f t="shared" si="3"/>
        <v>137.3787014937042</v>
      </c>
      <c r="Q28" s="2">
        <f t="shared" si="4"/>
        <v>132.47231929750049</v>
      </c>
      <c r="R28" s="2">
        <f t="shared" si="5"/>
        <v>126.65371771921107</v>
      </c>
      <c r="S28" s="2">
        <f t="shared" si="6"/>
        <v>118.21013653793032</v>
      </c>
      <c r="T28" s="2">
        <f t="shared" si="7"/>
        <v>113.98834594728997</v>
      </c>
      <c r="V28" s="15">
        <v>0.4</v>
      </c>
      <c r="W28" s="15">
        <f t="shared" si="8"/>
        <v>229.9848978831493</v>
      </c>
      <c r="X28" s="15">
        <f t="shared" si="9"/>
        <v>214.65257135760595</v>
      </c>
      <c r="Y28" s="15">
        <f t="shared" si="10"/>
        <v>206.98640809483433</v>
      </c>
      <c r="Z28" s="15">
        <f t="shared" si="11"/>
        <v>197.89491300203434</v>
      </c>
      <c r="AA28" s="15">
        <f t="shared" si="12"/>
        <v>184.70191880189873</v>
      </c>
      <c r="AB28" s="15">
        <f t="shared" si="13"/>
        <v>178.10542170183092</v>
      </c>
    </row>
    <row r="29" spans="3:28" x14ac:dyDescent="0.3">
      <c r="D29" s="2" t="s">
        <v>11</v>
      </c>
      <c r="E29" s="4">
        <f>E28/E9</f>
        <v>137.3787014937042</v>
      </c>
      <c r="H29" s="2" t="s">
        <v>11</v>
      </c>
      <c r="I29" s="12">
        <f>I28/E9</f>
        <v>118.21013653793032</v>
      </c>
      <c r="N29" s="2">
        <v>0.45</v>
      </c>
      <c r="O29" s="2">
        <f t="shared" si="2"/>
        <v>147.19146588611167</v>
      </c>
      <c r="P29" s="2">
        <f t="shared" si="3"/>
        <v>137.3787014937042</v>
      </c>
      <c r="Q29" s="2">
        <f t="shared" si="4"/>
        <v>132.47231929750049</v>
      </c>
      <c r="R29" s="2">
        <f t="shared" si="5"/>
        <v>126.65371771921107</v>
      </c>
      <c r="S29" s="2">
        <f t="shared" si="6"/>
        <v>118.21013653793032</v>
      </c>
      <c r="T29" s="2">
        <f t="shared" si="7"/>
        <v>113.98834594728997</v>
      </c>
      <c r="V29" s="15">
        <v>0.45</v>
      </c>
      <c r="W29" s="15">
        <f t="shared" si="8"/>
        <v>229.9848978831493</v>
      </c>
      <c r="X29" s="15">
        <f t="shared" si="9"/>
        <v>214.65257135760595</v>
      </c>
      <c r="Y29" s="15">
        <f t="shared" si="10"/>
        <v>206.98640809483433</v>
      </c>
      <c r="Z29" s="15">
        <f t="shared" si="11"/>
        <v>197.89491300203434</v>
      </c>
      <c r="AA29" s="15">
        <f t="shared" si="12"/>
        <v>184.70191880189873</v>
      </c>
      <c r="AB29" s="15">
        <f t="shared" si="13"/>
        <v>178.10542170183092</v>
      </c>
    </row>
    <row r="30" spans="3:28" x14ac:dyDescent="0.3">
      <c r="I30" s="13"/>
      <c r="N30" s="2">
        <v>0.5</v>
      </c>
      <c r="O30" s="2">
        <f t="shared" si="2"/>
        <v>147.19146588611167</v>
      </c>
      <c r="P30" s="2">
        <f t="shared" si="3"/>
        <v>137.3787014937042</v>
      </c>
      <c r="Q30" s="2">
        <f t="shared" si="4"/>
        <v>132.47231929750049</v>
      </c>
      <c r="R30" s="2">
        <f t="shared" si="5"/>
        <v>126.65371771921107</v>
      </c>
      <c r="S30" s="2">
        <f t="shared" si="6"/>
        <v>118.21013653793032</v>
      </c>
      <c r="T30" s="2">
        <f t="shared" si="7"/>
        <v>113.98834594728997</v>
      </c>
      <c r="V30" s="15">
        <v>0.5</v>
      </c>
      <c r="W30" s="15">
        <f t="shared" si="8"/>
        <v>229.9848978831493</v>
      </c>
      <c r="X30" s="15">
        <f t="shared" si="9"/>
        <v>214.65257135760595</v>
      </c>
      <c r="Y30" s="15">
        <f t="shared" si="10"/>
        <v>206.98640809483433</v>
      </c>
      <c r="Z30" s="15">
        <f t="shared" si="11"/>
        <v>197.89491300203434</v>
      </c>
      <c r="AA30" s="15">
        <f t="shared" si="12"/>
        <v>184.70191880189873</v>
      </c>
      <c r="AB30" s="15">
        <f t="shared" si="13"/>
        <v>178.10542170183092</v>
      </c>
    </row>
    <row r="31" spans="3:28" x14ac:dyDescent="0.3">
      <c r="C31" s="6" t="s">
        <v>14</v>
      </c>
      <c r="D31" s="6" t="s">
        <v>6</v>
      </c>
      <c r="E31" s="6">
        <f>E16^2*ro*E20*1.688^2/2</f>
        <v>116.21782915029586</v>
      </c>
      <c r="G31" s="6" t="s">
        <v>42</v>
      </c>
      <c r="H31" s="6" t="s">
        <v>6</v>
      </c>
      <c r="I31" s="11">
        <f>E16^2*E22*E20*1.688^2/2</f>
        <v>100.00185838579878</v>
      </c>
      <c r="J31" s="18" t="s">
        <v>23</v>
      </c>
      <c r="K31" s="18"/>
      <c r="N31" s="2">
        <v>0.55000000000000004</v>
      </c>
      <c r="O31" s="2">
        <f t="shared" si="2"/>
        <v>147.19146588611167</v>
      </c>
      <c r="P31" s="2">
        <f t="shared" si="3"/>
        <v>137.3787014937042</v>
      </c>
      <c r="Q31" s="2">
        <f t="shared" si="4"/>
        <v>132.47231929750049</v>
      </c>
      <c r="R31" s="2">
        <f t="shared" si="5"/>
        <v>126.65371771921107</v>
      </c>
      <c r="S31" s="2">
        <f t="shared" si="6"/>
        <v>118.21013653793032</v>
      </c>
      <c r="T31" s="2">
        <f t="shared" si="7"/>
        <v>113.98834594728997</v>
      </c>
      <c r="V31" s="15">
        <v>0.55000000000000004</v>
      </c>
      <c r="W31" s="15">
        <f t="shared" si="8"/>
        <v>229.9848978831493</v>
      </c>
      <c r="X31" s="15">
        <f t="shared" si="9"/>
        <v>214.65257135760595</v>
      </c>
      <c r="Y31" s="15">
        <f t="shared" si="10"/>
        <v>206.98640809483433</v>
      </c>
      <c r="Z31" s="15">
        <f t="shared" si="11"/>
        <v>197.89491300203434</v>
      </c>
      <c r="AA31" s="15">
        <f t="shared" si="12"/>
        <v>184.70191880189873</v>
      </c>
      <c r="AB31" s="15">
        <f t="shared" si="13"/>
        <v>178.10542170183092</v>
      </c>
    </row>
    <row r="32" spans="3:28" x14ac:dyDescent="0.3">
      <c r="D32" s="2" t="s">
        <v>11</v>
      </c>
      <c r="E32" s="4">
        <f>E31/E9</f>
        <v>132.47231929750049</v>
      </c>
      <c r="H32" s="2" t="s">
        <v>11</v>
      </c>
      <c r="I32" s="12">
        <f>I31/E9</f>
        <v>113.98834594728997</v>
      </c>
      <c r="N32" s="2">
        <v>0.6</v>
      </c>
      <c r="O32" s="2">
        <f t="shared" si="2"/>
        <v>147.19146588611167</v>
      </c>
      <c r="P32" s="2">
        <f t="shared" si="3"/>
        <v>137.3787014937042</v>
      </c>
      <c r="Q32" s="2">
        <f t="shared" si="4"/>
        <v>132.47231929750049</v>
      </c>
      <c r="R32" s="2">
        <f t="shared" si="5"/>
        <v>126.65371771921107</v>
      </c>
      <c r="S32" s="2">
        <f t="shared" si="6"/>
        <v>118.21013653793032</v>
      </c>
      <c r="T32" s="2">
        <f t="shared" si="7"/>
        <v>113.98834594728997</v>
      </c>
      <c r="V32" s="15">
        <v>0.6</v>
      </c>
      <c r="W32" s="15">
        <f t="shared" si="8"/>
        <v>229.9848978831493</v>
      </c>
      <c r="X32" s="15">
        <f t="shared" si="9"/>
        <v>214.65257135760595</v>
      </c>
      <c r="Y32" s="15">
        <f t="shared" si="10"/>
        <v>206.98640809483433</v>
      </c>
      <c r="Z32" s="15">
        <f t="shared" si="11"/>
        <v>197.89491300203434</v>
      </c>
      <c r="AA32" s="15">
        <f t="shared" si="12"/>
        <v>184.70191880189873</v>
      </c>
      <c r="AB32" s="15">
        <f t="shared" si="13"/>
        <v>178.10542170183092</v>
      </c>
    </row>
    <row r="33" spans="3:28" x14ac:dyDescent="0.3">
      <c r="I33" s="13"/>
      <c r="N33" s="2">
        <v>0.65</v>
      </c>
      <c r="O33" s="2">
        <f t="shared" si="2"/>
        <v>147.19146588611167</v>
      </c>
      <c r="P33" s="2">
        <f t="shared" si="3"/>
        <v>137.3787014937042</v>
      </c>
      <c r="Q33" s="2">
        <f t="shared" si="4"/>
        <v>132.47231929750049</v>
      </c>
      <c r="R33" s="2">
        <f t="shared" si="5"/>
        <v>126.65371771921107</v>
      </c>
      <c r="S33" s="2">
        <f t="shared" si="6"/>
        <v>118.21013653793032</v>
      </c>
      <c r="T33" s="2">
        <f t="shared" si="7"/>
        <v>113.98834594728997</v>
      </c>
      <c r="V33" s="15">
        <v>0.65</v>
      </c>
      <c r="W33" s="15">
        <f t="shared" si="8"/>
        <v>229.9848978831493</v>
      </c>
      <c r="X33" s="15">
        <f t="shared" si="9"/>
        <v>214.65257135760595</v>
      </c>
      <c r="Y33" s="15">
        <f t="shared" si="10"/>
        <v>206.98640809483433</v>
      </c>
      <c r="Z33" s="15">
        <f t="shared" si="11"/>
        <v>197.89491300203434</v>
      </c>
      <c r="AA33" s="15">
        <f t="shared" si="12"/>
        <v>184.70191880189873</v>
      </c>
      <c r="AB33" s="15">
        <f t="shared" si="13"/>
        <v>178.10542170183092</v>
      </c>
    </row>
    <row r="34" spans="3:28" x14ac:dyDescent="0.3">
      <c r="C34" s="8" t="s">
        <v>15</v>
      </c>
      <c r="D34" s="8" t="s">
        <v>6</v>
      </c>
      <c r="E34" s="8">
        <f>V_SL^2*ro*E18*1.688^2/2</f>
        <v>193.69638191715978</v>
      </c>
      <c r="G34" s="8" t="s">
        <v>43</v>
      </c>
      <c r="H34" s="8" t="s">
        <v>6</v>
      </c>
      <c r="I34" s="14">
        <f>V_SL^2*E18*E22*1.688^2/2</f>
        <v>166.66976397633132</v>
      </c>
      <c r="J34" s="18" t="s">
        <v>23</v>
      </c>
      <c r="K34" s="18"/>
      <c r="N34" s="2">
        <v>0.7</v>
      </c>
      <c r="O34" s="2">
        <f t="shared" si="2"/>
        <v>147.19146588611167</v>
      </c>
      <c r="P34" s="2">
        <f t="shared" si="3"/>
        <v>137.3787014937042</v>
      </c>
      <c r="Q34" s="2">
        <f t="shared" si="4"/>
        <v>132.47231929750049</v>
      </c>
      <c r="R34" s="2">
        <f t="shared" si="5"/>
        <v>126.65371771921107</v>
      </c>
      <c r="S34" s="2">
        <f t="shared" si="6"/>
        <v>118.21013653793032</v>
      </c>
      <c r="T34" s="2">
        <f t="shared" si="7"/>
        <v>113.98834594728997</v>
      </c>
      <c r="V34" s="15">
        <v>0.7</v>
      </c>
      <c r="W34" s="15">
        <f t="shared" si="8"/>
        <v>229.9848978831493</v>
      </c>
      <c r="X34" s="15">
        <f t="shared" si="9"/>
        <v>214.65257135760595</v>
      </c>
      <c r="Y34" s="15">
        <f t="shared" si="10"/>
        <v>206.98640809483433</v>
      </c>
      <c r="Z34" s="15">
        <f t="shared" si="11"/>
        <v>197.89491300203434</v>
      </c>
      <c r="AA34" s="15">
        <f t="shared" si="12"/>
        <v>184.70191880189873</v>
      </c>
      <c r="AB34" s="15">
        <f t="shared" si="13"/>
        <v>178.10542170183092</v>
      </c>
    </row>
    <row r="35" spans="3:28" x14ac:dyDescent="0.3">
      <c r="D35" s="2" t="s">
        <v>11</v>
      </c>
      <c r="E35" s="4">
        <f>E34/E10</f>
        <v>229.9848978831493</v>
      </c>
      <c r="H35" s="2" t="s">
        <v>11</v>
      </c>
      <c r="I35" s="12">
        <f>I34/E10</f>
        <v>197.89491300203434</v>
      </c>
      <c r="N35" s="2">
        <v>0.75</v>
      </c>
      <c r="O35" s="2">
        <f t="shared" si="2"/>
        <v>147.19146588611167</v>
      </c>
      <c r="P35" s="2">
        <f t="shared" si="3"/>
        <v>137.3787014937042</v>
      </c>
      <c r="Q35" s="2">
        <f t="shared" si="4"/>
        <v>132.47231929750049</v>
      </c>
      <c r="R35" s="2">
        <f t="shared" si="5"/>
        <v>126.65371771921107</v>
      </c>
      <c r="S35" s="2">
        <f t="shared" si="6"/>
        <v>118.21013653793032</v>
      </c>
      <c r="T35" s="2">
        <f t="shared" si="7"/>
        <v>113.98834594728997</v>
      </c>
      <c r="V35" s="15">
        <v>0.75</v>
      </c>
      <c r="W35" s="15">
        <f t="shared" si="8"/>
        <v>229.9848978831493</v>
      </c>
      <c r="X35" s="15">
        <f t="shared" si="9"/>
        <v>214.65257135760595</v>
      </c>
      <c r="Y35" s="15">
        <f t="shared" si="10"/>
        <v>206.98640809483433</v>
      </c>
      <c r="Z35" s="15">
        <f t="shared" si="11"/>
        <v>197.89491300203434</v>
      </c>
      <c r="AA35" s="15">
        <f t="shared" si="12"/>
        <v>184.70191880189873</v>
      </c>
      <c r="AB35" s="15">
        <f t="shared" si="13"/>
        <v>178.10542170183092</v>
      </c>
    </row>
    <row r="36" spans="3:28" x14ac:dyDescent="0.3">
      <c r="I36" s="13"/>
      <c r="N36" s="2">
        <v>0.8</v>
      </c>
      <c r="O36" s="2">
        <f t="shared" si="2"/>
        <v>147.19146588611167</v>
      </c>
      <c r="P36" s="2">
        <f t="shared" si="3"/>
        <v>137.3787014937042</v>
      </c>
      <c r="Q36" s="2">
        <f t="shared" si="4"/>
        <v>132.47231929750049</v>
      </c>
      <c r="R36" s="2">
        <f t="shared" si="5"/>
        <v>126.65371771921107</v>
      </c>
      <c r="S36" s="2">
        <f t="shared" si="6"/>
        <v>118.21013653793032</v>
      </c>
      <c r="T36" s="2">
        <f t="shared" si="7"/>
        <v>113.98834594728997</v>
      </c>
      <c r="V36" s="15">
        <v>0.8</v>
      </c>
      <c r="W36" s="15">
        <f t="shared" si="8"/>
        <v>229.9848978831493</v>
      </c>
      <c r="X36" s="15">
        <f t="shared" si="9"/>
        <v>214.65257135760595</v>
      </c>
      <c r="Y36" s="15">
        <f t="shared" si="10"/>
        <v>206.98640809483433</v>
      </c>
      <c r="Z36" s="15">
        <f t="shared" si="11"/>
        <v>197.89491300203434</v>
      </c>
      <c r="AA36" s="15">
        <f t="shared" si="12"/>
        <v>184.70191880189873</v>
      </c>
      <c r="AB36" s="15">
        <f t="shared" si="13"/>
        <v>178.10542170183092</v>
      </c>
    </row>
    <row r="37" spans="3:28" x14ac:dyDescent="0.3">
      <c r="C37" s="8" t="s">
        <v>16</v>
      </c>
      <c r="D37" s="8" t="s">
        <v>6</v>
      </c>
      <c r="E37" s="8">
        <f>V_SL^2*ro*CL_max*1.688^2/2</f>
        <v>180.78328978934908</v>
      </c>
      <c r="G37" s="8" t="s">
        <v>44</v>
      </c>
      <c r="H37" s="8" t="s">
        <v>6</v>
      </c>
      <c r="I37" s="14">
        <f>V_SL^2*E22*CL_max*1.688^2/2</f>
        <v>155.55844637790923</v>
      </c>
      <c r="J37" s="18" t="s">
        <v>23</v>
      </c>
      <c r="K37" s="18"/>
      <c r="N37" s="2">
        <v>0.85</v>
      </c>
      <c r="O37" s="2">
        <f t="shared" si="2"/>
        <v>147.19146588611167</v>
      </c>
      <c r="P37" s="2">
        <f t="shared" si="3"/>
        <v>137.3787014937042</v>
      </c>
      <c r="Q37" s="2">
        <f t="shared" si="4"/>
        <v>132.47231929750049</v>
      </c>
      <c r="R37" s="2">
        <f t="shared" si="5"/>
        <v>126.65371771921107</v>
      </c>
      <c r="S37" s="2">
        <f t="shared" si="6"/>
        <v>118.21013653793032</v>
      </c>
      <c r="T37" s="2">
        <f t="shared" si="7"/>
        <v>113.98834594728997</v>
      </c>
      <c r="V37" s="15">
        <v>0.85</v>
      </c>
      <c r="W37" s="15">
        <f t="shared" si="8"/>
        <v>229.9848978831493</v>
      </c>
      <c r="X37" s="15">
        <f t="shared" si="9"/>
        <v>214.65257135760595</v>
      </c>
      <c r="Y37" s="15">
        <f t="shared" si="10"/>
        <v>206.98640809483433</v>
      </c>
      <c r="Z37" s="15">
        <f t="shared" si="11"/>
        <v>197.89491300203434</v>
      </c>
      <c r="AA37" s="15">
        <f t="shared" si="12"/>
        <v>184.70191880189873</v>
      </c>
      <c r="AB37" s="15">
        <f t="shared" si="13"/>
        <v>178.10542170183092</v>
      </c>
    </row>
    <row r="38" spans="3:28" x14ac:dyDescent="0.3">
      <c r="C38" s="2"/>
      <c r="D38" s="2" t="s">
        <v>11</v>
      </c>
      <c r="E38" s="4">
        <f>E37/E10</f>
        <v>214.65257135760595</v>
      </c>
      <c r="G38" s="2"/>
      <c r="H38" s="2" t="s">
        <v>11</v>
      </c>
      <c r="I38" s="12">
        <f>I37/E10</f>
        <v>184.70191880189873</v>
      </c>
      <c r="N38" s="2">
        <v>0.9</v>
      </c>
      <c r="O38" s="2">
        <f t="shared" si="2"/>
        <v>147.19146588611167</v>
      </c>
      <c r="P38" s="2">
        <f t="shared" si="3"/>
        <v>137.3787014937042</v>
      </c>
      <c r="Q38" s="2">
        <f t="shared" si="4"/>
        <v>132.47231929750049</v>
      </c>
      <c r="R38" s="2">
        <f t="shared" si="5"/>
        <v>126.65371771921107</v>
      </c>
      <c r="S38" s="2">
        <f t="shared" si="6"/>
        <v>118.21013653793032</v>
      </c>
      <c r="T38" s="2">
        <f t="shared" si="7"/>
        <v>113.98834594728997</v>
      </c>
      <c r="V38" s="15">
        <v>0.9</v>
      </c>
      <c r="W38" s="15">
        <f t="shared" si="8"/>
        <v>229.9848978831493</v>
      </c>
      <c r="X38" s="15">
        <f t="shared" si="9"/>
        <v>214.65257135760595</v>
      </c>
      <c r="Y38" s="15">
        <f t="shared" si="10"/>
        <v>206.98640809483433</v>
      </c>
      <c r="Z38" s="15">
        <f t="shared" si="11"/>
        <v>197.89491300203434</v>
      </c>
      <c r="AA38" s="15">
        <f t="shared" si="12"/>
        <v>184.70191880189873</v>
      </c>
      <c r="AB38" s="15">
        <f t="shared" si="13"/>
        <v>178.10542170183092</v>
      </c>
    </row>
    <row r="39" spans="3:28" x14ac:dyDescent="0.3">
      <c r="I39" s="13"/>
    </row>
    <row r="40" spans="3:28" x14ac:dyDescent="0.3">
      <c r="C40" s="8" t="s">
        <v>17</v>
      </c>
      <c r="D40" s="8" t="s">
        <v>6</v>
      </c>
      <c r="E40" s="8">
        <f>V_SL^2*ro*E20*1.688^2/2</f>
        <v>174.32674372544378</v>
      </c>
      <c r="G40" s="8" t="s">
        <v>45</v>
      </c>
      <c r="H40" s="8" t="s">
        <v>6</v>
      </c>
      <c r="I40" s="14">
        <f>V_SL^2*E22*E20*1.688^2/2</f>
        <v>150.00278757869819</v>
      </c>
      <c r="J40" s="18" t="s">
        <v>23</v>
      </c>
      <c r="K40" s="18"/>
    </row>
    <row r="41" spans="3:28" x14ac:dyDescent="0.3">
      <c r="D41" s="2" t="s">
        <v>11</v>
      </c>
      <c r="E41" s="4">
        <f>E40/E10</f>
        <v>206.98640809483433</v>
      </c>
      <c r="H41" s="2" t="s">
        <v>11</v>
      </c>
      <c r="I41" s="12">
        <f>I40/E10</f>
        <v>178.10542170183092</v>
      </c>
    </row>
    <row r="47" spans="3:28" x14ac:dyDescent="0.3">
      <c r="C47" s="17" t="s">
        <v>46</v>
      </c>
      <c r="D47" s="17"/>
      <c r="E47" s="17"/>
      <c r="F47" s="17"/>
      <c r="G47" s="17"/>
      <c r="H47" s="17"/>
      <c r="I47" s="17"/>
    </row>
    <row r="48" spans="3:28" x14ac:dyDescent="0.3">
      <c r="C48" s="2"/>
      <c r="D48" s="2" t="s">
        <v>55</v>
      </c>
      <c r="E48" s="2"/>
      <c r="F48" s="2"/>
      <c r="G48" s="2"/>
      <c r="H48" s="2"/>
      <c r="I48" s="2"/>
    </row>
    <row r="49" spans="3:9" x14ac:dyDescent="0.3">
      <c r="C49" s="2" t="s">
        <v>54</v>
      </c>
      <c r="D49" s="2">
        <v>212</v>
      </c>
      <c r="E49" s="2"/>
      <c r="F49" s="2"/>
      <c r="G49" s="2"/>
      <c r="H49" s="2"/>
      <c r="I49" s="2"/>
    </row>
    <row r="50" spans="3:9" x14ac:dyDescent="0.3">
      <c r="C50" s="2" t="s">
        <v>52</v>
      </c>
      <c r="D50" s="2">
        <v>101352.93</v>
      </c>
      <c r="E50" s="2"/>
      <c r="F50" s="2"/>
      <c r="G50" s="2"/>
      <c r="H50" s="2"/>
      <c r="I50" s="2"/>
    </row>
    <row r="51" spans="3:9" x14ac:dyDescent="0.3">
      <c r="C51" s="2" t="s">
        <v>49</v>
      </c>
      <c r="D51" s="2">
        <v>0.17299999999999999</v>
      </c>
      <c r="E51" s="2"/>
      <c r="F51" s="2"/>
      <c r="G51" s="2"/>
      <c r="H51" s="2"/>
      <c r="I51" s="2"/>
    </row>
    <row r="52" spans="3:9" x14ac:dyDescent="0.3">
      <c r="C52" s="2" t="s">
        <v>51</v>
      </c>
      <c r="D52" s="2">
        <v>100732.4</v>
      </c>
      <c r="E52" s="2"/>
      <c r="F52" s="2"/>
      <c r="G52" s="2"/>
      <c r="H52" s="2"/>
      <c r="I52" s="2"/>
    </row>
    <row r="53" spans="3:9" x14ac:dyDescent="0.3">
      <c r="C53" s="2" t="s">
        <v>53</v>
      </c>
      <c r="D53" s="2">
        <f>D52*((1+0.2*D51^2)^(7/2)-1)</f>
        <v>2126.2116398446892</v>
      </c>
      <c r="E53" s="2"/>
      <c r="F53" s="2"/>
      <c r="G53" s="2"/>
      <c r="H53" s="2"/>
      <c r="I53" s="2"/>
    </row>
    <row r="54" spans="3:9" x14ac:dyDescent="0.3">
      <c r="C54" s="2" t="s">
        <v>50</v>
      </c>
      <c r="D54" s="2">
        <f>D49*SQRT(5*(D53/D50+1)^(7/2)-1)</f>
        <v>443.52347400698977</v>
      </c>
      <c r="E54" s="2"/>
      <c r="F54" s="2"/>
      <c r="G54" s="2"/>
      <c r="H54" s="2"/>
      <c r="I54" s="2"/>
    </row>
    <row r="55" spans="3:9" x14ac:dyDescent="0.3">
      <c r="C55" s="2"/>
      <c r="D55" s="2"/>
      <c r="E55" s="2"/>
      <c r="F55" s="2"/>
      <c r="G55" s="2"/>
      <c r="H55" s="2"/>
      <c r="I55" s="2"/>
    </row>
    <row r="56" spans="3:9" x14ac:dyDescent="0.3">
      <c r="C56" s="2"/>
      <c r="D56" s="2">
        <f>14.61*((1+0.2*0.173^2)^(7/2)-1)</f>
        <v>0.3083809385870972</v>
      </c>
      <c r="E56" s="2"/>
      <c r="F56" s="2"/>
      <c r="G56" s="2"/>
      <c r="H56" s="2"/>
      <c r="I56" s="2"/>
    </row>
    <row r="57" spans="3:9" x14ac:dyDescent="0.3">
      <c r="C57" s="2"/>
      <c r="D57" s="2"/>
      <c r="E57" s="2"/>
      <c r="F57" s="2"/>
      <c r="G57" s="2"/>
      <c r="H57" s="2"/>
      <c r="I57" s="2"/>
    </row>
    <row r="58" spans="3:9" x14ac:dyDescent="0.3">
      <c r="C58" s="2"/>
      <c r="D58" s="2"/>
      <c r="E58" s="2"/>
      <c r="F58" s="2"/>
      <c r="G58" s="2"/>
      <c r="H58" s="2"/>
      <c r="I58" s="2"/>
    </row>
    <row r="59" spans="3:9" x14ac:dyDescent="0.3">
      <c r="C59" s="2"/>
      <c r="D59" s="2"/>
      <c r="E59" s="2"/>
      <c r="F59" s="2"/>
      <c r="G59" s="2"/>
      <c r="H59" s="2"/>
      <c r="I59" s="2"/>
    </row>
    <row r="60" spans="3:9" x14ac:dyDescent="0.3">
      <c r="C60" s="2"/>
      <c r="D60" s="2"/>
      <c r="E60" s="2"/>
      <c r="F60" s="2"/>
      <c r="G60" s="2"/>
      <c r="H60" s="2"/>
      <c r="I60" s="2"/>
    </row>
  </sheetData>
  <mergeCells count="8">
    <mergeCell ref="C47:I47"/>
    <mergeCell ref="J37:K37"/>
    <mergeCell ref="J40:K40"/>
    <mergeCell ref="D7:E7"/>
    <mergeCell ref="J25:K25"/>
    <mergeCell ref="J28:K28"/>
    <mergeCell ref="J31:K31"/>
    <mergeCell ref="J34:K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CL_max</vt:lpstr>
      <vt:lpstr>ro</vt:lpstr>
      <vt:lpstr>V_SL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2020-12-11T09:43:42Z</dcterms:modified>
</cp:coreProperties>
</file>