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B80DB18-7319-41DF-B30D-16C9BFD0F25D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Data" sheetId="2" r:id="rId2"/>
  </sheets>
  <definedNames>
    <definedName name="CL_max">Sheet1!$E$19</definedName>
    <definedName name="ro">Sheet1!$E$21</definedName>
    <definedName name="V_SL">Sheet1!$E$17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12" i="1"/>
  <c r="E13" i="1" l="1"/>
  <c r="E9" i="1"/>
  <c r="E10" i="1" l="1"/>
  <c r="K18" i="1"/>
  <c r="K17" i="1"/>
  <c r="D56" i="1" l="1"/>
  <c r="D53" i="1"/>
  <c r="D54" i="1" s="1"/>
  <c r="E15" i="1" l="1"/>
  <c r="E17" i="1" s="1"/>
  <c r="I37" i="1" s="1"/>
  <c r="I38" i="1" s="1"/>
  <c r="N2" i="2" s="1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E14" i="1"/>
  <c r="E16" i="1" s="1"/>
  <c r="I28" i="1" s="1"/>
  <c r="I29" i="1" s="1"/>
  <c r="F2" i="2" s="1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I31" i="1" l="1"/>
  <c r="I32" i="1" s="1"/>
  <c r="I34" i="1"/>
  <c r="I35" i="1" s="1"/>
  <c r="M2" i="2" s="1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I25" i="1"/>
  <c r="I26" i="1" s="1"/>
  <c r="I40" i="1"/>
  <c r="I41" i="1" s="1"/>
  <c r="O2" i="2" s="1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E40" i="1"/>
  <c r="E41" i="1" s="1"/>
  <c r="L2" i="2" s="1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E37" i="1"/>
  <c r="E38" i="1" s="1"/>
  <c r="K2" i="2" s="1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E34" i="1"/>
  <c r="E35" i="1" s="1"/>
  <c r="J2" i="2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E31" i="1"/>
  <c r="E32" i="1" s="1"/>
  <c r="D2" i="2" s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E28" i="1"/>
  <c r="E29" i="1" s="1"/>
  <c r="C2" i="2" s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E25" i="1"/>
  <c r="E26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</calcChain>
</file>

<file path=xl/sharedStrings.xml><?xml version="1.0" encoding="utf-8"?>
<sst xmlns="http://schemas.openxmlformats.org/spreadsheetml/2006/main" count="100" uniqueCount="56">
  <si>
    <t>W_landing/W_TO</t>
  </si>
  <si>
    <t>76 seat</t>
  </si>
  <si>
    <t>50 seat</t>
  </si>
  <si>
    <t>&lt;141 knot</t>
  </si>
  <si>
    <t>رابطه در صفحه 28 موجود است</t>
  </si>
  <si>
    <t>&lt;---fuel fraction</t>
  </si>
  <si>
    <t>(W/S)_L</t>
  </si>
  <si>
    <t>CL_max</t>
  </si>
  <si>
    <t>high</t>
  </si>
  <si>
    <t>medium</t>
  </si>
  <si>
    <t>low</t>
  </si>
  <si>
    <t>(W/S)_TO</t>
  </si>
  <si>
    <t>50 seat medium tech</t>
  </si>
  <si>
    <t>50 seat high tech</t>
  </si>
  <si>
    <t>50 seat low tech</t>
  </si>
  <si>
    <t>76 seat high tech</t>
  </si>
  <si>
    <t>76 seat medium tech</t>
  </si>
  <si>
    <t>76 seat low tech</t>
  </si>
  <si>
    <t>RFP</t>
  </si>
  <si>
    <t>ro (slug/ft^3)(sea level)</t>
  </si>
  <si>
    <t>ro (slug/ft^3)(5000 ft)</t>
  </si>
  <si>
    <t>1 knot=1.688 fps</t>
  </si>
  <si>
    <t>air density</t>
  </si>
  <si>
    <t>&lt;--speed by fps</t>
  </si>
  <si>
    <t>V_A (knot)</t>
  </si>
  <si>
    <t>V_A  (knot)</t>
  </si>
  <si>
    <t>V_SL (knot)</t>
  </si>
  <si>
    <t>T/W</t>
  </si>
  <si>
    <t>W/S 50 high</t>
  </si>
  <si>
    <t>W/S 50 midium</t>
  </si>
  <si>
    <t>W/S 50 low</t>
  </si>
  <si>
    <t>W/S 50 high (5000ft)</t>
  </si>
  <si>
    <t>W/S 50 midium (5000ft)</t>
  </si>
  <si>
    <t>W/S 50 low (5000ft)</t>
  </si>
  <si>
    <t>W/S 76 high</t>
  </si>
  <si>
    <t>W/S 76 midium</t>
  </si>
  <si>
    <t>W/S 76 low</t>
  </si>
  <si>
    <t>W/S 76 high (5000ft)</t>
  </si>
  <si>
    <t>W/S 76 midium (5000ft)</t>
  </si>
  <si>
    <t>W/S 76 low (5000ft)</t>
  </si>
  <si>
    <t>50 seat high tech (5000ft)</t>
  </si>
  <si>
    <t>50 seat medium tech  (5000ft)</t>
  </si>
  <si>
    <t>50 seat low tech  (5000ft)</t>
  </si>
  <si>
    <t>76 seat high tech  (5000ft)</t>
  </si>
  <si>
    <t>76 seat medium tech  (5000ft)</t>
  </si>
  <si>
    <t>76 seat low tech  (5000ft)</t>
  </si>
  <si>
    <t>Calibrated Air Speed</t>
  </si>
  <si>
    <t>S_FL (ft)</t>
  </si>
  <si>
    <t>ISA + 18F</t>
  </si>
  <si>
    <t>M</t>
  </si>
  <si>
    <t>CAS</t>
  </si>
  <si>
    <t>P (static pressure)</t>
  </si>
  <si>
    <t>P_0 (static pressure at sea level)</t>
  </si>
  <si>
    <t>q_c (impact pressure)</t>
  </si>
  <si>
    <t>a_0 (sound speed at 15 C)</t>
  </si>
  <si>
    <t>sea level (50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</si>
</sst>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NumberFormat="1" applyBorder="1"/>
    <xf numFmtId="0" fontId="0" fillId="3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1" fillId="5" borderId="1" xfId="1" applyBorder="1"/>
    <xf numFmtId="0" fontId="1" fillId="5" borderId="0" xfId="1"/>
    <xf numFmtId="0" fontId="1" fillId="5" borderId="1" xfId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7:K60"/>
  <sheetViews>
    <sheetView topLeftCell="G1" zoomScale="92" zoomScaleNormal="90" workbookViewId="0">
      <selection activeCell="N1" sqref="N1:AB20"/>
    </sheetView>
  </sheetViews>
  <sheetFormatPr defaultRowHeight="15" x14ac:dyDescent="0.25"/>
  <cols>
    <col min="3" max="3" width="28.42578125" bestFit="1" customWidth="1"/>
    <col min="4" max="4" width="20.85546875" customWidth="1"/>
    <col min="5" max="5" width="10.5703125" customWidth="1"/>
    <col min="6" max="6" width="14.140625" bestFit="1" customWidth="1"/>
    <col min="7" max="7" width="35.28515625" bestFit="1" customWidth="1"/>
    <col min="9" max="9" width="12" customWidth="1"/>
    <col min="12" max="12" width="14.7109375" bestFit="1" customWidth="1"/>
    <col min="15" max="15" width="10.7109375" bestFit="1" customWidth="1"/>
    <col min="16" max="16" width="13.42578125" bestFit="1" customWidth="1"/>
    <col min="17" max="17" width="10.7109375" bestFit="1" customWidth="1"/>
    <col min="18" max="18" width="17.7109375" bestFit="1" customWidth="1"/>
    <col min="19" max="19" width="20.42578125" bestFit="1" customWidth="1"/>
    <col min="20" max="20" width="17.42578125" bestFit="1" customWidth="1"/>
    <col min="23" max="23" width="12" bestFit="1" customWidth="1"/>
    <col min="24" max="24" width="13.42578125" bestFit="1" customWidth="1"/>
    <col min="25" max="25" width="12" bestFit="1" customWidth="1"/>
    <col min="26" max="26" width="17.7109375" bestFit="1" customWidth="1"/>
    <col min="27" max="27" width="20.42578125" bestFit="1" customWidth="1"/>
    <col min="28" max="28" width="17.42578125" bestFit="1" customWidth="1"/>
  </cols>
  <sheetData>
    <row r="7" spans="3:6" x14ac:dyDescent="0.25">
      <c r="D7" s="21" t="s">
        <v>4</v>
      </c>
      <c r="E7" s="21"/>
    </row>
    <row r="9" spans="3:6" x14ac:dyDescent="0.25">
      <c r="C9" s="2" t="s">
        <v>2</v>
      </c>
      <c r="D9" s="2" t="s">
        <v>0</v>
      </c>
      <c r="E9" s="2">
        <f>42.549/48.5</f>
        <v>0.87729896907216498</v>
      </c>
      <c r="F9" s="2" t="s">
        <v>5</v>
      </c>
    </row>
    <row r="10" spans="3:6" x14ac:dyDescent="0.25">
      <c r="C10" s="2" t="s">
        <v>1</v>
      </c>
      <c r="D10" s="2" t="s">
        <v>0</v>
      </c>
      <c r="E10" s="2">
        <f>74957/89000</f>
        <v>0.84221348314606737</v>
      </c>
      <c r="F10" s="2" t="s">
        <v>5</v>
      </c>
    </row>
    <row r="11" spans="3:6" x14ac:dyDescent="0.25">
      <c r="C11" s="5"/>
      <c r="D11" s="5"/>
      <c r="E11" s="5"/>
      <c r="F11" s="5"/>
    </row>
    <row r="12" spans="3:6" x14ac:dyDescent="0.25">
      <c r="C12" s="6" t="s">
        <v>2</v>
      </c>
      <c r="D12" s="6" t="s">
        <v>47</v>
      </c>
      <c r="E12" s="6">
        <f>4000/0.6</f>
        <v>6666.666666666667</v>
      </c>
      <c r="F12" s="6" t="s">
        <v>18</v>
      </c>
    </row>
    <row r="13" spans="3:6" x14ac:dyDescent="0.25">
      <c r="C13" s="8" t="s">
        <v>1</v>
      </c>
      <c r="D13" s="8" t="s">
        <v>47</v>
      </c>
      <c r="E13" s="8">
        <f>6000/0.6</f>
        <v>10000</v>
      </c>
      <c r="F13" s="8" t="s">
        <v>18</v>
      </c>
    </row>
    <row r="14" spans="3:6" x14ac:dyDescent="0.25">
      <c r="C14" s="6" t="s">
        <v>2</v>
      </c>
      <c r="D14" s="7" t="s">
        <v>24</v>
      </c>
      <c r="E14" s="7">
        <f>SQRT(E12/0.3)</f>
        <v>149.07119849998597</v>
      </c>
      <c r="F14" s="6" t="s">
        <v>3</v>
      </c>
    </row>
    <row r="15" spans="3:6" x14ac:dyDescent="0.25">
      <c r="C15" s="8" t="s">
        <v>1</v>
      </c>
      <c r="D15" s="9" t="s">
        <v>25</v>
      </c>
      <c r="E15" s="9">
        <f>SQRT(E13/0.3)</f>
        <v>182.57418583505537</v>
      </c>
      <c r="F15" s="6" t="s">
        <v>3</v>
      </c>
    </row>
    <row r="16" spans="3:6" x14ac:dyDescent="0.25">
      <c r="C16" s="6" t="s">
        <v>2</v>
      </c>
      <c r="D16" s="6" t="s">
        <v>26</v>
      </c>
      <c r="E16" s="6">
        <f>E14/1.3</f>
        <v>114.6701526922969</v>
      </c>
      <c r="F16" s="5"/>
    </row>
    <row r="17" spans="3:11" x14ac:dyDescent="0.25">
      <c r="C17" s="8" t="s">
        <v>1</v>
      </c>
      <c r="D17" s="8" t="s">
        <v>26</v>
      </c>
      <c r="E17" s="8">
        <f>E15/1.3</f>
        <v>140.44168141158104</v>
      </c>
      <c r="K17">
        <f>1/K18</f>
        <v>0.87729896907216498</v>
      </c>
    </row>
    <row r="18" spans="3:11" x14ac:dyDescent="0.25">
      <c r="C18" s="2" t="s">
        <v>8</v>
      </c>
      <c r="D18" s="3" t="s">
        <v>7</v>
      </c>
      <c r="E18" s="2">
        <v>3</v>
      </c>
      <c r="K18">
        <f>48.5/42.549</f>
        <v>1.1398622764342288</v>
      </c>
    </row>
    <row r="19" spans="3:11" x14ac:dyDescent="0.25">
      <c r="C19" s="2" t="s">
        <v>9</v>
      </c>
      <c r="D19" s="3" t="s">
        <v>7</v>
      </c>
      <c r="E19" s="2">
        <v>2.8</v>
      </c>
      <c r="G19" s="1" t="s">
        <v>21</v>
      </c>
    </row>
    <row r="20" spans="3:11" x14ac:dyDescent="0.25">
      <c r="C20" s="2" t="s">
        <v>10</v>
      </c>
      <c r="D20" s="3" t="s">
        <v>7</v>
      </c>
      <c r="E20" s="2">
        <v>2.7</v>
      </c>
    </row>
    <row r="21" spans="3:11" x14ac:dyDescent="0.25">
      <c r="C21" s="3" t="s">
        <v>22</v>
      </c>
      <c r="D21" s="3" t="s">
        <v>19</v>
      </c>
      <c r="E21" s="2">
        <v>2.2977000000000002E-3</v>
      </c>
      <c r="F21" s="16" t="s">
        <v>48</v>
      </c>
    </row>
    <row r="22" spans="3:11" x14ac:dyDescent="0.25">
      <c r="C22" s="3" t="s">
        <v>22</v>
      </c>
      <c r="D22" s="3" t="s">
        <v>20</v>
      </c>
      <c r="E22" s="10">
        <v>1.9770999999999999E-3</v>
      </c>
      <c r="F22" s="16" t="s">
        <v>48</v>
      </c>
    </row>
    <row r="25" spans="3:11" x14ac:dyDescent="0.25">
      <c r="C25" s="6" t="s">
        <v>13</v>
      </c>
      <c r="D25" s="6" t="s">
        <v>6</v>
      </c>
      <c r="E25" s="6">
        <f>E16^2*ro*E18*1.688^2/2</f>
        <v>129.13092127810651</v>
      </c>
      <c r="G25" s="6" t="s">
        <v>40</v>
      </c>
      <c r="H25" s="6" t="s">
        <v>6</v>
      </c>
      <c r="I25" s="11">
        <f>E16^2*E22*E18*1.688^2/2</f>
        <v>111.11317598422087</v>
      </c>
      <c r="J25" s="21" t="s">
        <v>23</v>
      </c>
      <c r="K25" s="21"/>
    </row>
    <row r="26" spans="3:11" x14ac:dyDescent="0.25">
      <c r="D26" s="2" t="s">
        <v>11</v>
      </c>
      <c r="E26" s="4">
        <f>E25/E9</f>
        <v>147.19146588611167</v>
      </c>
      <c r="H26" s="2" t="s">
        <v>11</v>
      </c>
      <c r="I26" s="12">
        <f>I25/E9</f>
        <v>126.65371771921107</v>
      </c>
    </row>
    <row r="27" spans="3:11" x14ac:dyDescent="0.25">
      <c r="I27" s="13"/>
    </row>
    <row r="28" spans="3:11" x14ac:dyDescent="0.25">
      <c r="C28" s="6" t="s">
        <v>12</v>
      </c>
      <c r="D28" s="6" t="s">
        <v>6</v>
      </c>
      <c r="E28" s="6">
        <f>E16^2*ro*CL_max*1.688^2/2</f>
        <v>120.52219319289939</v>
      </c>
      <c r="G28" s="6" t="s">
        <v>41</v>
      </c>
      <c r="H28" s="6" t="s">
        <v>6</v>
      </c>
      <c r="I28" s="11">
        <f>E16^2*E22*CL_max*1.688^2/2</f>
        <v>103.70563091860613</v>
      </c>
      <c r="J28" s="21" t="s">
        <v>23</v>
      </c>
      <c r="K28" s="21"/>
    </row>
    <row r="29" spans="3:11" x14ac:dyDescent="0.25">
      <c r="D29" s="2" t="s">
        <v>11</v>
      </c>
      <c r="E29" s="4">
        <f>E28/E9</f>
        <v>137.3787014937042</v>
      </c>
      <c r="H29" s="2" t="s">
        <v>11</v>
      </c>
      <c r="I29" s="12">
        <f>I28/E9</f>
        <v>118.21013653793032</v>
      </c>
    </row>
    <row r="30" spans="3:11" x14ac:dyDescent="0.25">
      <c r="I30" s="13"/>
    </row>
    <row r="31" spans="3:11" x14ac:dyDescent="0.25">
      <c r="C31" s="6" t="s">
        <v>14</v>
      </c>
      <c r="D31" s="6" t="s">
        <v>6</v>
      </c>
      <c r="E31" s="6">
        <f>E16^2*ro*E20*1.688^2/2</f>
        <v>116.21782915029586</v>
      </c>
      <c r="G31" s="6" t="s">
        <v>42</v>
      </c>
      <c r="H31" s="6" t="s">
        <v>6</v>
      </c>
      <c r="I31" s="11">
        <f>E16^2*E22*E20*1.688^2/2</f>
        <v>100.00185838579878</v>
      </c>
      <c r="J31" s="21" t="s">
        <v>23</v>
      </c>
      <c r="K31" s="21"/>
    </row>
    <row r="32" spans="3:11" x14ac:dyDescent="0.25">
      <c r="D32" s="2" t="s">
        <v>11</v>
      </c>
      <c r="E32" s="4">
        <f>E31/E9</f>
        <v>132.47231929750049</v>
      </c>
      <c r="H32" s="2" t="s">
        <v>11</v>
      </c>
      <c r="I32" s="12">
        <f>I31/E9</f>
        <v>113.98834594728997</v>
      </c>
    </row>
    <row r="33" spans="3:11" x14ac:dyDescent="0.25">
      <c r="I33" s="13"/>
    </row>
    <row r="34" spans="3:11" x14ac:dyDescent="0.25">
      <c r="C34" s="8" t="s">
        <v>15</v>
      </c>
      <c r="D34" s="8" t="s">
        <v>6</v>
      </c>
      <c r="E34" s="8">
        <f>V_SL^2*ro*E18*1.688^2/2</f>
        <v>193.69638191715978</v>
      </c>
      <c r="G34" s="8" t="s">
        <v>43</v>
      </c>
      <c r="H34" s="8" t="s">
        <v>6</v>
      </c>
      <c r="I34" s="14">
        <f>V_SL^2*E18*E22*1.688^2/2</f>
        <v>166.66976397633132</v>
      </c>
      <c r="J34" s="21" t="s">
        <v>23</v>
      </c>
      <c r="K34" s="21"/>
    </row>
    <row r="35" spans="3:11" x14ac:dyDescent="0.25">
      <c r="D35" s="2" t="s">
        <v>11</v>
      </c>
      <c r="E35" s="4">
        <f>E34/E10</f>
        <v>229.9848978831493</v>
      </c>
      <c r="H35" s="2" t="s">
        <v>11</v>
      </c>
      <c r="I35" s="12">
        <f>I34/E10</f>
        <v>197.89491300203434</v>
      </c>
    </row>
    <row r="36" spans="3:11" x14ac:dyDescent="0.25">
      <c r="I36" s="13"/>
    </row>
    <row r="37" spans="3:11" x14ac:dyDescent="0.25">
      <c r="C37" s="8" t="s">
        <v>16</v>
      </c>
      <c r="D37" s="8" t="s">
        <v>6</v>
      </c>
      <c r="E37" s="8">
        <f>V_SL^2*ro*CL_max*1.688^2/2</f>
        <v>180.78328978934908</v>
      </c>
      <c r="G37" s="8" t="s">
        <v>44</v>
      </c>
      <c r="H37" s="8" t="s">
        <v>6</v>
      </c>
      <c r="I37" s="14">
        <f>V_SL^2*E22*CL_max*1.688^2/2</f>
        <v>155.55844637790923</v>
      </c>
      <c r="J37" s="21" t="s">
        <v>23</v>
      </c>
      <c r="K37" s="21"/>
    </row>
    <row r="38" spans="3:11" x14ac:dyDescent="0.25">
      <c r="C38" s="2"/>
      <c r="D38" s="2" t="s">
        <v>11</v>
      </c>
      <c r="E38" s="4">
        <f>E37/E10</f>
        <v>214.65257135760595</v>
      </c>
      <c r="G38" s="2"/>
      <c r="H38" s="2" t="s">
        <v>11</v>
      </c>
      <c r="I38" s="12">
        <f>I37/E10</f>
        <v>184.70191880189873</v>
      </c>
    </row>
    <row r="39" spans="3:11" x14ac:dyDescent="0.25">
      <c r="I39" s="13"/>
    </row>
    <row r="40" spans="3:11" x14ac:dyDescent="0.25">
      <c r="C40" s="8" t="s">
        <v>17</v>
      </c>
      <c r="D40" s="8" t="s">
        <v>6</v>
      </c>
      <c r="E40" s="8">
        <f>V_SL^2*ro*E20*1.688^2/2</f>
        <v>174.32674372544378</v>
      </c>
      <c r="G40" s="8" t="s">
        <v>45</v>
      </c>
      <c r="H40" s="8" t="s">
        <v>6</v>
      </c>
      <c r="I40" s="14">
        <f>V_SL^2*E22*E20*1.688^2/2</f>
        <v>150.00278757869819</v>
      </c>
      <c r="J40" s="21" t="s">
        <v>23</v>
      </c>
      <c r="K40" s="21"/>
    </row>
    <row r="41" spans="3:11" x14ac:dyDescent="0.25">
      <c r="D41" s="2" t="s">
        <v>11</v>
      </c>
      <c r="E41" s="4">
        <f>E40/E10</f>
        <v>206.98640809483433</v>
      </c>
      <c r="H41" s="2" t="s">
        <v>11</v>
      </c>
      <c r="I41" s="12">
        <f>I40/E10</f>
        <v>178.10542170183092</v>
      </c>
    </row>
    <row r="47" spans="3:11" x14ac:dyDescent="0.25">
      <c r="C47" s="20" t="s">
        <v>46</v>
      </c>
      <c r="D47" s="20"/>
      <c r="E47" s="20"/>
      <c r="F47" s="20"/>
      <c r="G47" s="20"/>
      <c r="H47" s="20"/>
      <c r="I47" s="20"/>
    </row>
    <row r="48" spans="3:11" x14ac:dyDescent="0.25">
      <c r="C48" s="2"/>
      <c r="D48" s="2" t="s">
        <v>55</v>
      </c>
      <c r="E48" s="2"/>
      <c r="F48" s="2"/>
      <c r="G48" s="2"/>
      <c r="H48" s="2"/>
      <c r="I48" s="2"/>
    </row>
    <row r="49" spans="3:9" x14ac:dyDescent="0.25">
      <c r="C49" s="2" t="s">
        <v>54</v>
      </c>
      <c r="D49" s="2">
        <v>212</v>
      </c>
      <c r="E49" s="2"/>
      <c r="F49" s="2"/>
      <c r="G49" s="2"/>
      <c r="H49" s="2"/>
      <c r="I49" s="2"/>
    </row>
    <row r="50" spans="3:9" x14ac:dyDescent="0.25">
      <c r="C50" s="2" t="s">
        <v>52</v>
      </c>
      <c r="D50" s="2">
        <v>101352.93</v>
      </c>
      <c r="E50" s="2"/>
      <c r="F50" s="2"/>
      <c r="G50" s="2"/>
      <c r="H50" s="2"/>
      <c r="I50" s="2"/>
    </row>
    <row r="51" spans="3:9" x14ac:dyDescent="0.25">
      <c r="C51" s="2" t="s">
        <v>49</v>
      </c>
      <c r="D51" s="2">
        <v>0.17299999999999999</v>
      </c>
      <c r="E51" s="2"/>
      <c r="F51" s="2"/>
      <c r="G51" s="2"/>
      <c r="H51" s="2"/>
      <c r="I51" s="2"/>
    </row>
    <row r="52" spans="3:9" x14ac:dyDescent="0.25">
      <c r="C52" s="2" t="s">
        <v>51</v>
      </c>
      <c r="D52" s="2">
        <v>100732.4</v>
      </c>
      <c r="E52" s="2"/>
      <c r="F52" s="2"/>
      <c r="G52" s="2"/>
      <c r="H52" s="2"/>
      <c r="I52" s="2"/>
    </row>
    <row r="53" spans="3:9" x14ac:dyDescent="0.25">
      <c r="C53" s="2" t="s">
        <v>53</v>
      </c>
      <c r="D53" s="2">
        <f>D52*((1+0.2*D51^2)^(7/2)-1)</f>
        <v>2126.2116398446892</v>
      </c>
      <c r="E53" s="2"/>
      <c r="F53" s="2"/>
      <c r="G53" s="2"/>
      <c r="H53" s="2"/>
      <c r="I53" s="2"/>
    </row>
    <row r="54" spans="3:9" x14ac:dyDescent="0.25">
      <c r="C54" s="2" t="s">
        <v>50</v>
      </c>
      <c r="D54" s="2">
        <f>D49*SQRT(5*(D53/D50+1)^(7/2)-1)</f>
        <v>443.52347400698977</v>
      </c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>
        <f>14.61*((1+0.2*0.173^2)^(7/2)-1)</f>
        <v>0.3083809385870972</v>
      </c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</sheetData>
  <mergeCells count="8">
    <mergeCell ref="C47:I47"/>
    <mergeCell ref="J37:K37"/>
    <mergeCell ref="J40:K40"/>
    <mergeCell ref="D7:E7"/>
    <mergeCell ref="J25:K25"/>
    <mergeCell ref="J28:K28"/>
    <mergeCell ref="J31:K31"/>
    <mergeCell ref="J34:K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471B-9061-4721-96F4-C2B8E98F9333}">
  <dimension ref="A1:O20"/>
  <sheetViews>
    <sheetView tabSelected="1" workbookViewId="0">
      <selection activeCell="Q7" sqref="Q7"/>
    </sheetView>
  </sheetViews>
  <sheetFormatPr defaultRowHeight="15" x14ac:dyDescent="0.25"/>
  <cols>
    <col min="2" max="2" width="13.140625" customWidth="1"/>
    <col min="3" max="3" width="14.28515625" customWidth="1"/>
    <col min="4" max="4" width="15.140625" customWidth="1"/>
    <col min="5" max="5" width="19.140625" customWidth="1"/>
    <col min="6" max="6" width="15" customWidth="1"/>
  </cols>
  <sheetData>
    <row r="1" spans="1:15" x14ac:dyDescent="0.25">
      <c r="A1" s="17" t="s">
        <v>27</v>
      </c>
      <c r="B1" s="17" t="s">
        <v>28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8"/>
      <c r="I1" s="19" t="s">
        <v>27</v>
      </c>
      <c r="J1" s="19" t="s">
        <v>34</v>
      </c>
      <c r="K1" s="19" t="s">
        <v>35</v>
      </c>
      <c r="L1" s="19" t="s">
        <v>36</v>
      </c>
      <c r="M1" s="19" t="s">
        <v>37</v>
      </c>
      <c r="N1" s="19" t="s">
        <v>38</v>
      </c>
      <c r="O1" s="19" t="s">
        <v>39</v>
      </c>
    </row>
    <row r="2" spans="1:15" x14ac:dyDescent="0.25">
      <c r="A2" s="2">
        <v>0</v>
      </c>
      <c r="B2" s="2">
        <f>Sheet1!E26</f>
        <v>147.19146588611167</v>
      </c>
      <c r="C2" s="2">
        <f>Sheet1!E29</f>
        <v>137.3787014937042</v>
      </c>
      <c r="D2" s="2">
        <f>Sheet1!E32</f>
        <v>132.47231929750049</v>
      </c>
      <c r="E2" s="2">
        <f>Sheet1!I26</f>
        <v>126.65371771921107</v>
      </c>
      <c r="F2" s="2">
        <f>Sheet1!I29</f>
        <v>118.21013653793032</v>
      </c>
      <c r="G2" s="2">
        <f>Sheet1!I32</f>
        <v>113.98834594728997</v>
      </c>
      <c r="I2" s="15">
        <v>0</v>
      </c>
      <c r="J2" s="15">
        <f>Sheet1!E35</f>
        <v>229.9848978831493</v>
      </c>
      <c r="K2" s="15">
        <f>Sheet1!E38</f>
        <v>214.65257135760595</v>
      </c>
      <c r="L2" s="15">
        <f>Sheet1!E41</f>
        <v>206.98640809483433</v>
      </c>
      <c r="M2" s="15">
        <f>Sheet1!I35</f>
        <v>197.89491300203434</v>
      </c>
      <c r="N2" s="15">
        <f>Sheet1!I38</f>
        <v>184.70191880189873</v>
      </c>
      <c r="O2" s="15">
        <f>Sheet1!I41</f>
        <v>178.10542170183092</v>
      </c>
    </row>
    <row r="3" spans="1:15" x14ac:dyDescent="0.25">
      <c r="A3" s="2">
        <v>0.05</v>
      </c>
      <c r="B3" s="2">
        <f t="shared" ref="B3:B20" si="0">B2</f>
        <v>147.19146588611167</v>
      </c>
      <c r="C3" s="2">
        <f t="shared" ref="C3:C20" si="1">C2</f>
        <v>137.3787014937042</v>
      </c>
      <c r="D3" s="2">
        <f t="shared" ref="D3:D20" si="2">D2</f>
        <v>132.47231929750049</v>
      </c>
      <c r="E3" s="2">
        <f t="shared" ref="E3:E20" si="3">E2</f>
        <v>126.65371771921107</v>
      </c>
      <c r="F3" s="2">
        <f t="shared" ref="F3:F20" si="4">F2</f>
        <v>118.21013653793032</v>
      </c>
      <c r="G3" s="2">
        <f t="shared" ref="G3:G20" si="5">G2</f>
        <v>113.98834594728997</v>
      </c>
      <c r="I3" s="15">
        <v>0.05</v>
      </c>
      <c r="J3" s="15">
        <f t="shared" ref="J3:J20" si="6">J2</f>
        <v>229.9848978831493</v>
      </c>
      <c r="K3" s="15">
        <f t="shared" ref="K3:K20" si="7">K2</f>
        <v>214.65257135760595</v>
      </c>
      <c r="L3" s="15">
        <f t="shared" ref="L3:L20" si="8">L2</f>
        <v>206.98640809483433</v>
      </c>
      <c r="M3" s="15">
        <f t="shared" ref="M3:M20" si="9">M2</f>
        <v>197.89491300203434</v>
      </c>
      <c r="N3" s="15">
        <f t="shared" ref="N3:N20" si="10">N2</f>
        <v>184.70191880189873</v>
      </c>
      <c r="O3" s="15">
        <f t="shared" ref="O3:O20" si="11">O2</f>
        <v>178.10542170183092</v>
      </c>
    </row>
    <row r="4" spans="1:15" x14ac:dyDescent="0.25">
      <c r="A4" s="2">
        <v>0.1</v>
      </c>
      <c r="B4" s="2">
        <f t="shared" si="0"/>
        <v>147.19146588611167</v>
      </c>
      <c r="C4" s="2">
        <f t="shared" si="1"/>
        <v>137.3787014937042</v>
      </c>
      <c r="D4" s="2">
        <f t="shared" si="2"/>
        <v>132.47231929750049</v>
      </c>
      <c r="E4" s="2">
        <f t="shared" si="3"/>
        <v>126.65371771921107</v>
      </c>
      <c r="F4" s="2">
        <f t="shared" si="4"/>
        <v>118.21013653793032</v>
      </c>
      <c r="G4" s="2">
        <f t="shared" si="5"/>
        <v>113.98834594728997</v>
      </c>
      <c r="I4" s="15">
        <v>0.1</v>
      </c>
      <c r="J4" s="15">
        <f t="shared" si="6"/>
        <v>229.9848978831493</v>
      </c>
      <c r="K4" s="15">
        <f t="shared" si="7"/>
        <v>214.65257135760595</v>
      </c>
      <c r="L4" s="15">
        <f t="shared" si="8"/>
        <v>206.98640809483433</v>
      </c>
      <c r="M4" s="15">
        <f t="shared" si="9"/>
        <v>197.89491300203434</v>
      </c>
      <c r="N4" s="15">
        <f t="shared" si="10"/>
        <v>184.70191880189873</v>
      </c>
      <c r="O4" s="15">
        <f t="shared" si="11"/>
        <v>178.10542170183092</v>
      </c>
    </row>
    <row r="5" spans="1:15" x14ac:dyDescent="0.25">
      <c r="A5" s="2">
        <v>0.15</v>
      </c>
      <c r="B5" s="2">
        <f t="shared" si="0"/>
        <v>147.19146588611167</v>
      </c>
      <c r="C5" s="2">
        <f t="shared" si="1"/>
        <v>137.3787014937042</v>
      </c>
      <c r="D5" s="2">
        <f t="shared" si="2"/>
        <v>132.47231929750049</v>
      </c>
      <c r="E5" s="2">
        <f t="shared" si="3"/>
        <v>126.65371771921107</v>
      </c>
      <c r="F5" s="2">
        <f t="shared" si="4"/>
        <v>118.21013653793032</v>
      </c>
      <c r="G5" s="2">
        <f t="shared" si="5"/>
        <v>113.98834594728997</v>
      </c>
      <c r="I5" s="15">
        <v>0.15</v>
      </c>
      <c r="J5" s="15">
        <f t="shared" si="6"/>
        <v>229.9848978831493</v>
      </c>
      <c r="K5" s="15">
        <f t="shared" si="7"/>
        <v>214.65257135760595</v>
      </c>
      <c r="L5" s="15">
        <f t="shared" si="8"/>
        <v>206.98640809483433</v>
      </c>
      <c r="M5" s="15">
        <f t="shared" si="9"/>
        <v>197.89491300203434</v>
      </c>
      <c r="N5" s="15">
        <f t="shared" si="10"/>
        <v>184.70191880189873</v>
      </c>
      <c r="O5" s="15">
        <f t="shared" si="11"/>
        <v>178.10542170183092</v>
      </c>
    </row>
    <row r="6" spans="1:15" x14ac:dyDescent="0.25">
      <c r="A6" s="2">
        <v>0.2</v>
      </c>
      <c r="B6" s="2">
        <f t="shared" si="0"/>
        <v>147.19146588611167</v>
      </c>
      <c r="C6" s="2">
        <f t="shared" si="1"/>
        <v>137.3787014937042</v>
      </c>
      <c r="D6" s="2">
        <f t="shared" si="2"/>
        <v>132.47231929750049</v>
      </c>
      <c r="E6" s="2">
        <f t="shared" si="3"/>
        <v>126.65371771921107</v>
      </c>
      <c r="F6" s="2">
        <f t="shared" si="4"/>
        <v>118.21013653793032</v>
      </c>
      <c r="G6" s="2">
        <f t="shared" si="5"/>
        <v>113.98834594728997</v>
      </c>
      <c r="I6" s="15">
        <v>0.2</v>
      </c>
      <c r="J6" s="15">
        <f t="shared" si="6"/>
        <v>229.9848978831493</v>
      </c>
      <c r="K6" s="15">
        <f t="shared" si="7"/>
        <v>214.65257135760595</v>
      </c>
      <c r="L6" s="15">
        <f t="shared" si="8"/>
        <v>206.98640809483433</v>
      </c>
      <c r="M6" s="15">
        <f t="shared" si="9"/>
        <v>197.89491300203434</v>
      </c>
      <c r="N6" s="15">
        <f t="shared" si="10"/>
        <v>184.70191880189873</v>
      </c>
      <c r="O6" s="15">
        <f t="shared" si="11"/>
        <v>178.10542170183092</v>
      </c>
    </row>
    <row r="7" spans="1:15" x14ac:dyDescent="0.25">
      <c r="A7" s="2">
        <v>0.25</v>
      </c>
      <c r="B7" s="2">
        <f t="shared" si="0"/>
        <v>147.19146588611167</v>
      </c>
      <c r="C7" s="2">
        <f t="shared" si="1"/>
        <v>137.3787014937042</v>
      </c>
      <c r="D7" s="2">
        <f t="shared" si="2"/>
        <v>132.47231929750049</v>
      </c>
      <c r="E7" s="2">
        <f t="shared" si="3"/>
        <v>126.65371771921107</v>
      </c>
      <c r="F7" s="2">
        <f t="shared" si="4"/>
        <v>118.21013653793032</v>
      </c>
      <c r="G7" s="2">
        <f t="shared" si="5"/>
        <v>113.98834594728997</v>
      </c>
      <c r="I7" s="15">
        <v>0.25</v>
      </c>
      <c r="J7" s="15">
        <f t="shared" si="6"/>
        <v>229.9848978831493</v>
      </c>
      <c r="K7" s="15">
        <f t="shared" si="7"/>
        <v>214.65257135760595</v>
      </c>
      <c r="L7" s="15">
        <f t="shared" si="8"/>
        <v>206.98640809483433</v>
      </c>
      <c r="M7" s="15">
        <f t="shared" si="9"/>
        <v>197.89491300203434</v>
      </c>
      <c r="N7" s="15">
        <f t="shared" si="10"/>
        <v>184.70191880189873</v>
      </c>
      <c r="O7" s="15">
        <f t="shared" si="11"/>
        <v>178.10542170183092</v>
      </c>
    </row>
    <row r="8" spans="1:15" x14ac:dyDescent="0.25">
      <c r="A8" s="2">
        <v>0.3</v>
      </c>
      <c r="B8" s="2">
        <f t="shared" si="0"/>
        <v>147.19146588611167</v>
      </c>
      <c r="C8" s="2">
        <f t="shared" si="1"/>
        <v>137.3787014937042</v>
      </c>
      <c r="D8" s="2">
        <f t="shared" si="2"/>
        <v>132.47231929750049</v>
      </c>
      <c r="E8" s="2">
        <f t="shared" si="3"/>
        <v>126.65371771921107</v>
      </c>
      <c r="F8" s="2">
        <f t="shared" si="4"/>
        <v>118.21013653793032</v>
      </c>
      <c r="G8" s="2">
        <f t="shared" si="5"/>
        <v>113.98834594728997</v>
      </c>
      <c r="I8" s="15">
        <v>0.3</v>
      </c>
      <c r="J8" s="15">
        <f t="shared" si="6"/>
        <v>229.9848978831493</v>
      </c>
      <c r="K8" s="15">
        <f t="shared" si="7"/>
        <v>214.65257135760595</v>
      </c>
      <c r="L8" s="15">
        <f t="shared" si="8"/>
        <v>206.98640809483433</v>
      </c>
      <c r="M8" s="15">
        <f t="shared" si="9"/>
        <v>197.89491300203434</v>
      </c>
      <c r="N8" s="15">
        <f t="shared" si="10"/>
        <v>184.70191880189873</v>
      </c>
      <c r="O8" s="15">
        <f t="shared" si="11"/>
        <v>178.10542170183092</v>
      </c>
    </row>
    <row r="9" spans="1:15" x14ac:dyDescent="0.25">
      <c r="A9" s="2">
        <v>0.35</v>
      </c>
      <c r="B9" s="2">
        <f t="shared" si="0"/>
        <v>147.19146588611167</v>
      </c>
      <c r="C9" s="2">
        <f t="shared" si="1"/>
        <v>137.3787014937042</v>
      </c>
      <c r="D9" s="2">
        <f t="shared" si="2"/>
        <v>132.47231929750049</v>
      </c>
      <c r="E9" s="2">
        <f t="shared" si="3"/>
        <v>126.65371771921107</v>
      </c>
      <c r="F9" s="2">
        <f t="shared" si="4"/>
        <v>118.21013653793032</v>
      </c>
      <c r="G9" s="2">
        <f t="shared" si="5"/>
        <v>113.98834594728997</v>
      </c>
      <c r="I9" s="15">
        <v>0.35</v>
      </c>
      <c r="J9" s="15">
        <f t="shared" si="6"/>
        <v>229.9848978831493</v>
      </c>
      <c r="K9" s="15">
        <f t="shared" si="7"/>
        <v>214.65257135760595</v>
      </c>
      <c r="L9" s="15">
        <f t="shared" si="8"/>
        <v>206.98640809483433</v>
      </c>
      <c r="M9" s="15">
        <f t="shared" si="9"/>
        <v>197.89491300203434</v>
      </c>
      <c r="N9" s="15">
        <f t="shared" si="10"/>
        <v>184.70191880189873</v>
      </c>
      <c r="O9" s="15">
        <f t="shared" si="11"/>
        <v>178.10542170183092</v>
      </c>
    </row>
    <row r="10" spans="1:15" x14ac:dyDescent="0.25">
      <c r="A10" s="2">
        <v>0.4</v>
      </c>
      <c r="B10" s="2">
        <f t="shared" si="0"/>
        <v>147.19146588611167</v>
      </c>
      <c r="C10" s="2">
        <f t="shared" si="1"/>
        <v>137.3787014937042</v>
      </c>
      <c r="D10" s="2">
        <f t="shared" si="2"/>
        <v>132.47231929750049</v>
      </c>
      <c r="E10" s="2">
        <f t="shared" si="3"/>
        <v>126.65371771921107</v>
      </c>
      <c r="F10" s="2">
        <f t="shared" si="4"/>
        <v>118.21013653793032</v>
      </c>
      <c r="G10" s="2">
        <f t="shared" si="5"/>
        <v>113.98834594728997</v>
      </c>
      <c r="I10" s="15">
        <v>0.4</v>
      </c>
      <c r="J10" s="15">
        <f t="shared" si="6"/>
        <v>229.9848978831493</v>
      </c>
      <c r="K10" s="15">
        <f t="shared" si="7"/>
        <v>214.65257135760595</v>
      </c>
      <c r="L10" s="15">
        <f t="shared" si="8"/>
        <v>206.98640809483433</v>
      </c>
      <c r="M10" s="15">
        <f t="shared" si="9"/>
        <v>197.89491300203434</v>
      </c>
      <c r="N10" s="15">
        <f t="shared" si="10"/>
        <v>184.70191880189873</v>
      </c>
      <c r="O10" s="15">
        <f t="shared" si="11"/>
        <v>178.10542170183092</v>
      </c>
    </row>
    <row r="11" spans="1:15" x14ac:dyDescent="0.25">
      <c r="A11" s="2">
        <v>0.45</v>
      </c>
      <c r="B11" s="2">
        <f t="shared" si="0"/>
        <v>147.19146588611167</v>
      </c>
      <c r="C11" s="2">
        <f t="shared" si="1"/>
        <v>137.3787014937042</v>
      </c>
      <c r="D11" s="2">
        <f t="shared" si="2"/>
        <v>132.47231929750049</v>
      </c>
      <c r="E11" s="2">
        <f t="shared" si="3"/>
        <v>126.65371771921107</v>
      </c>
      <c r="F11" s="2">
        <f t="shared" si="4"/>
        <v>118.21013653793032</v>
      </c>
      <c r="G11" s="2">
        <f t="shared" si="5"/>
        <v>113.98834594728997</v>
      </c>
      <c r="I11" s="15">
        <v>0.45</v>
      </c>
      <c r="J11" s="15">
        <f t="shared" si="6"/>
        <v>229.9848978831493</v>
      </c>
      <c r="K11" s="15">
        <f t="shared" si="7"/>
        <v>214.65257135760595</v>
      </c>
      <c r="L11" s="15">
        <f t="shared" si="8"/>
        <v>206.98640809483433</v>
      </c>
      <c r="M11" s="15">
        <f t="shared" si="9"/>
        <v>197.89491300203434</v>
      </c>
      <c r="N11" s="15">
        <f t="shared" si="10"/>
        <v>184.70191880189873</v>
      </c>
      <c r="O11" s="15">
        <f t="shared" si="11"/>
        <v>178.10542170183092</v>
      </c>
    </row>
    <row r="12" spans="1:15" x14ac:dyDescent="0.25">
      <c r="A12" s="2">
        <v>0.5</v>
      </c>
      <c r="B12" s="2">
        <f t="shared" si="0"/>
        <v>147.19146588611167</v>
      </c>
      <c r="C12" s="2">
        <f t="shared" si="1"/>
        <v>137.3787014937042</v>
      </c>
      <c r="D12" s="2">
        <f t="shared" si="2"/>
        <v>132.47231929750049</v>
      </c>
      <c r="E12" s="2">
        <f t="shared" si="3"/>
        <v>126.65371771921107</v>
      </c>
      <c r="F12" s="2">
        <f t="shared" si="4"/>
        <v>118.21013653793032</v>
      </c>
      <c r="G12" s="2">
        <f t="shared" si="5"/>
        <v>113.98834594728997</v>
      </c>
      <c r="I12" s="15">
        <v>0.5</v>
      </c>
      <c r="J12" s="15">
        <f t="shared" si="6"/>
        <v>229.9848978831493</v>
      </c>
      <c r="K12" s="15">
        <f t="shared" si="7"/>
        <v>214.65257135760595</v>
      </c>
      <c r="L12" s="15">
        <f t="shared" si="8"/>
        <v>206.98640809483433</v>
      </c>
      <c r="M12" s="15">
        <f t="shared" si="9"/>
        <v>197.89491300203434</v>
      </c>
      <c r="N12" s="15">
        <f t="shared" si="10"/>
        <v>184.70191880189873</v>
      </c>
      <c r="O12" s="15">
        <f t="shared" si="11"/>
        <v>178.10542170183092</v>
      </c>
    </row>
    <row r="13" spans="1:15" x14ac:dyDescent="0.25">
      <c r="A13" s="2">
        <v>0.55000000000000004</v>
      </c>
      <c r="B13" s="2">
        <f t="shared" si="0"/>
        <v>147.19146588611167</v>
      </c>
      <c r="C13" s="2">
        <f t="shared" si="1"/>
        <v>137.3787014937042</v>
      </c>
      <c r="D13" s="2">
        <f t="shared" si="2"/>
        <v>132.47231929750049</v>
      </c>
      <c r="E13" s="2">
        <f t="shared" si="3"/>
        <v>126.65371771921107</v>
      </c>
      <c r="F13" s="2">
        <f t="shared" si="4"/>
        <v>118.21013653793032</v>
      </c>
      <c r="G13" s="2">
        <f t="shared" si="5"/>
        <v>113.98834594728997</v>
      </c>
      <c r="I13" s="15">
        <v>0.55000000000000004</v>
      </c>
      <c r="J13" s="15">
        <f t="shared" si="6"/>
        <v>229.9848978831493</v>
      </c>
      <c r="K13" s="15">
        <f t="shared" si="7"/>
        <v>214.65257135760595</v>
      </c>
      <c r="L13" s="15">
        <f t="shared" si="8"/>
        <v>206.98640809483433</v>
      </c>
      <c r="M13" s="15">
        <f t="shared" si="9"/>
        <v>197.89491300203434</v>
      </c>
      <c r="N13" s="15">
        <f t="shared" si="10"/>
        <v>184.70191880189873</v>
      </c>
      <c r="O13" s="15">
        <f t="shared" si="11"/>
        <v>178.10542170183092</v>
      </c>
    </row>
    <row r="14" spans="1:15" x14ac:dyDescent="0.25">
      <c r="A14" s="2">
        <v>0.6</v>
      </c>
      <c r="B14" s="2">
        <f t="shared" si="0"/>
        <v>147.19146588611167</v>
      </c>
      <c r="C14" s="2">
        <f t="shared" si="1"/>
        <v>137.3787014937042</v>
      </c>
      <c r="D14" s="2">
        <f t="shared" si="2"/>
        <v>132.47231929750049</v>
      </c>
      <c r="E14" s="2">
        <f t="shared" si="3"/>
        <v>126.65371771921107</v>
      </c>
      <c r="F14" s="2">
        <f t="shared" si="4"/>
        <v>118.21013653793032</v>
      </c>
      <c r="G14" s="2">
        <f t="shared" si="5"/>
        <v>113.98834594728997</v>
      </c>
      <c r="I14" s="15">
        <v>0.6</v>
      </c>
      <c r="J14" s="15">
        <f t="shared" si="6"/>
        <v>229.9848978831493</v>
      </c>
      <c r="K14" s="15">
        <f t="shared" si="7"/>
        <v>214.65257135760595</v>
      </c>
      <c r="L14" s="15">
        <f t="shared" si="8"/>
        <v>206.98640809483433</v>
      </c>
      <c r="M14" s="15">
        <f t="shared" si="9"/>
        <v>197.89491300203434</v>
      </c>
      <c r="N14" s="15">
        <f t="shared" si="10"/>
        <v>184.70191880189873</v>
      </c>
      <c r="O14" s="15">
        <f t="shared" si="11"/>
        <v>178.10542170183092</v>
      </c>
    </row>
    <row r="15" spans="1:15" x14ac:dyDescent="0.25">
      <c r="A15" s="2">
        <v>0.65</v>
      </c>
      <c r="B15" s="2">
        <f t="shared" si="0"/>
        <v>147.19146588611167</v>
      </c>
      <c r="C15" s="2">
        <f t="shared" si="1"/>
        <v>137.3787014937042</v>
      </c>
      <c r="D15" s="2">
        <f t="shared" si="2"/>
        <v>132.47231929750049</v>
      </c>
      <c r="E15" s="2">
        <f t="shared" si="3"/>
        <v>126.65371771921107</v>
      </c>
      <c r="F15" s="2">
        <f t="shared" si="4"/>
        <v>118.21013653793032</v>
      </c>
      <c r="G15" s="2">
        <f t="shared" si="5"/>
        <v>113.98834594728997</v>
      </c>
      <c r="I15" s="15">
        <v>0.65</v>
      </c>
      <c r="J15" s="15">
        <f t="shared" si="6"/>
        <v>229.9848978831493</v>
      </c>
      <c r="K15" s="15">
        <f t="shared" si="7"/>
        <v>214.65257135760595</v>
      </c>
      <c r="L15" s="15">
        <f t="shared" si="8"/>
        <v>206.98640809483433</v>
      </c>
      <c r="M15" s="15">
        <f t="shared" si="9"/>
        <v>197.89491300203434</v>
      </c>
      <c r="N15" s="15">
        <f t="shared" si="10"/>
        <v>184.70191880189873</v>
      </c>
      <c r="O15" s="15">
        <f t="shared" si="11"/>
        <v>178.10542170183092</v>
      </c>
    </row>
    <row r="16" spans="1:15" x14ac:dyDescent="0.25">
      <c r="A16" s="2">
        <v>0.7</v>
      </c>
      <c r="B16" s="2">
        <f t="shared" si="0"/>
        <v>147.19146588611167</v>
      </c>
      <c r="C16" s="2">
        <f t="shared" si="1"/>
        <v>137.3787014937042</v>
      </c>
      <c r="D16" s="2">
        <f t="shared" si="2"/>
        <v>132.47231929750049</v>
      </c>
      <c r="E16" s="2">
        <f t="shared" si="3"/>
        <v>126.65371771921107</v>
      </c>
      <c r="F16" s="2">
        <f t="shared" si="4"/>
        <v>118.21013653793032</v>
      </c>
      <c r="G16" s="2">
        <f t="shared" si="5"/>
        <v>113.98834594728997</v>
      </c>
      <c r="I16" s="15">
        <v>0.7</v>
      </c>
      <c r="J16" s="15">
        <f t="shared" si="6"/>
        <v>229.9848978831493</v>
      </c>
      <c r="K16" s="15">
        <f t="shared" si="7"/>
        <v>214.65257135760595</v>
      </c>
      <c r="L16" s="15">
        <f t="shared" si="8"/>
        <v>206.98640809483433</v>
      </c>
      <c r="M16" s="15">
        <f t="shared" si="9"/>
        <v>197.89491300203434</v>
      </c>
      <c r="N16" s="15">
        <f t="shared" si="10"/>
        <v>184.70191880189873</v>
      </c>
      <c r="O16" s="15">
        <f t="shared" si="11"/>
        <v>178.10542170183092</v>
      </c>
    </row>
    <row r="17" spans="1:15" x14ac:dyDescent="0.25">
      <c r="A17" s="2">
        <v>0.75</v>
      </c>
      <c r="B17" s="2">
        <f t="shared" si="0"/>
        <v>147.19146588611167</v>
      </c>
      <c r="C17" s="2">
        <f t="shared" si="1"/>
        <v>137.3787014937042</v>
      </c>
      <c r="D17" s="2">
        <f t="shared" si="2"/>
        <v>132.47231929750049</v>
      </c>
      <c r="E17" s="2">
        <f t="shared" si="3"/>
        <v>126.65371771921107</v>
      </c>
      <c r="F17" s="2">
        <f t="shared" si="4"/>
        <v>118.21013653793032</v>
      </c>
      <c r="G17" s="2">
        <f t="shared" si="5"/>
        <v>113.98834594728997</v>
      </c>
      <c r="I17" s="15">
        <v>0.75</v>
      </c>
      <c r="J17" s="15">
        <f t="shared" si="6"/>
        <v>229.9848978831493</v>
      </c>
      <c r="K17" s="15">
        <f t="shared" si="7"/>
        <v>214.65257135760595</v>
      </c>
      <c r="L17" s="15">
        <f t="shared" si="8"/>
        <v>206.98640809483433</v>
      </c>
      <c r="M17" s="15">
        <f t="shared" si="9"/>
        <v>197.89491300203434</v>
      </c>
      <c r="N17" s="15">
        <f t="shared" si="10"/>
        <v>184.70191880189873</v>
      </c>
      <c r="O17" s="15">
        <f t="shared" si="11"/>
        <v>178.10542170183092</v>
      </c>
    </row>
    <row r="18" spans="1:15" x14ac:dyDescent="0.25">
      <c r="A18" s="2">
        <v>0.8</v>
      </c>
      <c r="B18" s="2">
        <f t="shared" si="0"/>
        <v>147.19146588611167</v>
      </c>
      <c r="C18" s="2">
        <f t="shared" si="1"/>
        <v>137.3787014937042</v>
      </c>
      <c r="D18" s="2">
        <f t="shared" si="2"/>
        <v>132.47231929750049</v>
      </c>
      <c r="E18" s="2">
        <f t="shared" si="3"/>
        <v>126.65371771921107</v>
      </c>
      <c r="F18" s="2">
        <f t="shared" si="4"/>
        <v>118.21013653793032</v>
      </c>
      <c r="G18" s="2">
        <f t="shared" si="5"/>
        <v>113.98834594728997</v>
      </c>
      <c r="I18" s="15">
        <v>0.8</v>
      </c>
      <c r="J18" s="15">
        <f t="shared" si="6"/>
        <v>229.9848978831493</v>
      </c>
      <c r="K18" s="15">
        <f t="shared" si="7"/>
        <v>214.65257135760595</v>
      </c>
      <c r="L18" s="15">
        <f t="shared" si="8"/>
        <v>206.98640809483433</v>
      </c>
      <c r="M18" s="15">
        <f t="shared" si="9"/>
        <v>197.89491300203434</v>
      </c>
      <c r="N18" s="15">
        <f t="shared" si="10"/>
        <v>184.70191880189873</v>
      </c>
      <c r="O18" s="15">
        <f t="shared" si="11"/>
        <v>178.10542170183092</v>
      </c>
    </row>
    <row r="19" spans="1:15" x14ac:dyDescent="0.25">
      <c r="A19" s="2">
        <v>0.85</v>
      </c>
      <c r="B19" s="2">
        <f t="shared" si="0"/>
        <v>147.19146588611167</v>
      </c>
      <c r="C19" s="2">
        <f t="shared" si="1"/>
        <v>137.3787014937042</v>
      </c>
      <c r="D19" s="2">
        <f t="shared" si="2"/>
        <v>132.47231929750049</v>
      </c>
      <c r="E19" s="2">
        <f t="shared" si="3"/>
        <v>126.65371771921107</v>
      </c>
      <c r="F19" s="2">
        <f t="shared" si="4"/>
        <v>118.21013653793032</v>
      </c>
      <c r="G19" s="2">
        <f t="shared" si="5"/>
        <v>113.98834594728997</v>
      </c>
      <c r="I19" s="15">
        <v>0.85</v>
      </c>
      <c r="J19" s="15">
        <f t="shared" si="6"/>
        <v>229.9848978831493</v>
      </c>
      <c r="K19" s="15">
        <f t="shared" si="7"/>
        <v>214.65257135760595</v>
      </c>
      <c r="L19" s="15">
        <f t="shared" si="8"/>
        <v>206.98640809483433</v>
      </c>
      <c r="M19" s="15">
        <f t="shared" si="9"/>
        <v>197.89491300203434</v>
      </c>
      <c r="N19" s="15">
        <f t="shared" si="10"/>
        <v>184.70191880189873</v>
      </c>
      <c r="O19" s="15">
        <f t="shared" si="11"/>
        <v>178.10542170183092</v>
      </c>
    </row>
    <row r="20" spans="1:15" x14ac:dyDescent="0.25">
      <c r="A20" s="2">
        <v>0.9</v>
      </c>
      <c r="B20" s="2">
        <f t="shared" si="0"/>
        <v>147.19146588611167</v>
      </c>
      <c r="C20" s="2">
        <f t="shared" si="1"/>
        <v>137.3787014937042</v>
      </c>
      <c r="D20" s="2">
        <f t="shared" si="2"/>
        <v>132.47231929750049</v>
      </c>
      <c r="E20" s="2">
        <f t="shared" si="3"/>
        <v>126.65371771921107</v>
      </c>
      <c r="F20" s="2">
        <f t="shared" si="4"/>
        <v>118.21013653793032</v>
      </c>
      <c r="G20" s="2">
        <f t="shared" si="5"/>
        <v>113.98834594728997</v>
      </c>
      <c r="I20" s="15">
        <v>0.9</v>
      </c>
      <c r="J20" s="15">
        <f t="shared" si="6"/>
        <v>229.9848978831493</v>
      </c>
      <c r="K20" s="15">
        <f t="shared" si="7"/>
        <v>214.65257135760595</v>
      </c>
      <c r="L20" s="15">
        <f t="shared" si="8"/>
        <v>206.98640809483433</v>
      </c>
      <c r="M20" s="15">
        <f t="shared" si="9"/>
        <v>197.89491300203434</v>
      </c>
      <c r="N20" s="15">
        <f t="shared" si="10"/>
        <v>184.70191880189873</v>
      </c>
      <c r="O20" s="15">
        <f t="shared" si="11"/>
        <v>178.10542170183092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Data</vt:lpstr>
      <vt:lpstr>CL_max</vt:lpstr>
      <vt:lpstr>ro</vt:lpstr>
      <vt:lpstr>V_SL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2021-03-15T18:00:26Z</dcterms:modified>
</cp:coreProperties>
</file>