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i Belli\Documents\EE464_term_project_Social_Isolation\Flyback_converter_AB\"/>
    </mc:Choice>
  </mc:AlternateContent>
  <xr:revisionPtr revIDLastSave="0" documentId="13_ncr:1_{D0742D27-17AF-440C-B180-68C30B6B2DC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21" i="1" s="1"/>
  <c r="E23" i="1" s="1"/>
  <c r="B19" i="1"/>
  <c r="B17" i="1"/>
  <c r="B16" i="1"/>
  <c r="E2" i="1" s="1"/>
  <c r="E3" i="1" s="1"/>
  <c r="B20" i="1" l="1"/>
  <c r="E4" i="1" s="1"/>
  <c r="E24" i="1"/>
  <c r="E25" i="1" s="1"/>
  <c r="E5" i="1" l="1"/>
  <c r="B23" i="1"/>
  <c r="B22" i="1"/>
  <c r="H6" i="1" l="1"/>
  <c r="H11" i="1" s="1"/>
  <c r="E6" i="1"/>
  <c r="E7" i="1" s="1"/>
  <c r="H13" i="1" l="1"/>
  <c r="H14" i="1"/>
  <c r="H12" i="1"/>
</calcChain>
</file>

<file path=xl/sharedStrings.xml><?xml version="1.0" encoding="utf-8"?>
<sst xmlns="http://schemas.openxmlformats.org/spreadsheetml/2006/main" count="61" uniqueCount="55">
  <si>
    <t>Desired Output Voltage Ripple(%)</t>
  </si>
  <si>
    <t>Desired Maximum Duty Cycle(%)</t>
  </si>
  <si>
    <t>Desired Inductor Current Ripple(%)</t>
  </si>
  <si>
    <t>Maximum Input Voltage(V)</t>
  </si>
  <si>
    <t>Minumum Input Voltage(V)</t>
  </si>
  <si>
    <t>Output Voltage(V)</t>
  </si>
  <si>
    <t>Output Power(W)</t>
  </si>
  <si>
    <t>Diode On Voltage(V)</t>
  </si>
  <si>
    <t>Mosfet On Resistance(mohm)</t>
  </si>
  <si>
    <t>Values</t>
  </si>
  <si>
    <t xml:space="preserve">Transformer Features </t>
  </si>
  <si>
    <r>
      <t>Secondary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</si>
  <si>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Primary Inductance(µH)</t>
  </si>
  <si>
    <t xml:space="preserve">Given Design Parameters </t>
  </si>
  <si>
    <t>Calculated Design Parameters</t>
  </si>
  <si>
    <t>N1/N2 Ratio</t>
  </si>
  <si>
    <t>Estimated Effiency(%)</t>
  </si>
  <si>
    <t>Output Average Current(A)</t>
  </si>
  <si>
    <t>Maximum Input Average Current(A)</t>
  </si>
  <si>
    <t>Switching Frequency(kHz)</t>
  </si>
  <si>
    <t>Minumum Output Capacitor(µF)</t>
  </si>
  <si>
    <t xml:space="preserve">Core Properties </t>
  </si>
  <si>
    <t xml:space="preserve">Wiring Properties </t>
  </si>
  <si>
    <t>N1(turns)</t>
  </si>
  <si>
    <t>N2(turns )</t>
  </si>
  <si>
    <t>Effective Duty Cycle(Min. In Volt.)</t>
  </si>
  <si>
    <t>Effective Duty Cycle(Max. In Volt.)</t>
  </si>
  <si>
    <t>Saturation Flux Density(T)</t>
  </si>
  <si>
    <t>Effective magnetic cross section(mm^2)</t>
  </si>
  <si>
    <t>Effective Turn Ratio</t>
  </si>
  <si>
    <t>Estimated Duty Cycle(Min. In Volt.)</t>
  </si>
  <si>
    <t>Estimated Duty Cycle(Max. In Volt.)</t>
  </si>
  <si>
    <t>Length-specific Resistance(mohm/m)</t>
  </si>
  <si>
    <t>Turns of Wire (per cm)</t>
  </si>
  <si>
    <t>Diameter (mm)</t>
  </si>
  <si>
    <t xml:space="preserve">LT8316 Parameters </t>
  </si>
  <si>
    <t>Minimum switch-off time(ns)</t>
  </si>
  <si>
    <t>Minimum Switch-On Time(ns)</t>
  </si>
  <si>
    <t>Minimum switch current limit(mV/Rsens)</t>
  </si>
  <si>
    <t>Maximum switch current(mV/Rsens)</t>
  </si>
  <si>
    <t>Sense Resistance(mohm)</t>
  </si>
  <si>
    <t xml:space="preserve">LT8316 Inductor Limitations </t>
  </si>
  <si>
    <t>Back-up Time(µs)</t>
  </si>
  <si>
    <t>Maximum Primary Limitation(mH)</t>
  </si>
  <si>
    <t>Minimum Primary Limitation-1(mH)</t>
  </si>
  <si>
    <t>Minimum Primary Limitation-2(mH)</t>
  </si>
  <si>
    <t>Minimum Primary Limitation-3(mH)</t>
  </si>
  <si>
    <t>Inductance Factor(nH/turn^2)</t>
  </si>
  <si>
    <t>Average Length of Turn(mm)</t>
  </si>
  <si>
    <t>Window Area(Winding Cross Section)(mm^2)</t>
  </si>
  <si>
    <t>108.5</t>
  </si>
  <si>
    <r>
      <t>Estimated Secondary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</si>
  <si>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Estimated Primary Inductance(µH)</t>
  </si>
  <si>
    <r>
      <t>Effective Secondary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</si>
  <si>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Effective Primary Inductance(µH)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</si>
</sst>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Arial Tur"/>
      <charset val="162"/>
    </font>
    <font>
      <b/>
      <sz val="11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25" sqref="G25"/>
    </sheetView>
  </sheetViews>
  <sheetFormatPr defaultRowHeight="15" x14ac:dyDescent="0.25"/>
  <cols>
    <col min="1" max="1" width="34.42578125" style="1" customWidth="1"/>
    <col min="2" max="2" width="9.140625" style="2"/>
    <col min="3" max="3" width="3.140625" customWidth="1"/>
    <col min="4" max="4" width="42.140625" style="1" customWidth="1"/>
    <col min="5" max="5" width="9.140625" style="2"/>
    <col min="6" max="6" width="2.85546875" customWidth="1"/>
    <col min="7" max="7" width="44.28515625" style="1" customWidth="1"/>
    <col min="8" max="8" width="11.42578125" style="2" customWidth="1"/>
  </cols>
  <sheetData>
    <row r="1" spans="1:8" x14ac:dyDescent="0.25">
      <c r="A1" s="3" t="s">
        <v>13</v>
      </c>
      <c r="B1" s="4" t="s">
        <v>9</v>
      </c>
      <c r="D1" s="7" t="s">
        <v>10</v>
      </c>
      <c r="E1" s="4" t="s">
        <v>9</v>
      </c>
      <c r="G1" s="3" t="s">
        <v>35</v>
      </c>
      <c r="H1" s="4" t="s">
        <v>9</v>
      </c>
    </row>
    <row r="2" spans="1:8" x14ac:dyDescent="0.25">
      <c r="A2" s="3" t="s">
        <v>3</v>
      </c>
      <c r="B2" s="5">
        <v>400</v>
      </c>
      <c r="D2" s="7" t="s">
        <v>11</v>
      </c>
      <c r="E2" s="6">
        <f>(B4+B6)*(1-B7/100)/(B12*1000)/(B16)/(B9/100)*1000000</f>
        <v>3.0250000000000008</v>
      </c>
      <c r="G2" s="3" t="s">
        <v>36</v>
      </c>
      <c r="H2" s="5">
        <v>800</v>
      </c>
    </row>
    <row r="3" spans="1:8" x14ac:dyDescent="0.25">
      <c r="A3" s="3" t="s">
        <v>4</v>
      </c>
      <c r="B3" s="5">
        <v>220</v>
      </c>
      <c r="D3" s="7" t="s">
        <v>12</v>
      </c>
      <c r="E3" s="6">
        <f>E2*B18^2</f>
        <v>592.9000000000002</v>
      </c>
      <c r="G3" s="3" t="s">
        <v>38</v>
      </c>
      <c r="H3" s="5">
        <v>20</v>
      </c>
    </row>
    <row r="4" spans="1:8" x14ac:dyDescent="0.25">
      <c r="A4" s="3" t="s">
        <v>5</v>
      </c>
      <c r="B4" s="5">
        <v>12</v>
      </c>
      <c r="D4" s="7" t="s">
        <v>51</v>
      </c>
      <c r="E4" s="5">
        <f>(B4+B6)*(1-B20)/(B12*1000)/(B16)/(B9/100)*1000000</f>
        <v>3.1185567010309279</v>
      </c>
      <c r="G4" s="3" t="s">
        <v>37</v>
      </c>
      <c r="H4" s="5">
        <v>300</v>
      </c>
    </row>
    <row r="5" spans="1:8" x14ac:dyDescent="0.25">
      <c r="A5" s="3" t="s">
        <v>6</v>
      </c>
      <c r="B5" s="5">
        <v>100</v>
      </c>
      <c r="D5" s="7" t="s">
        <v>52</v>
      </c>
      <c r="E5" s="5">
        <f>E4*E25^2</f>
        <v>377.34536082474227</v>
      </c>
      <c r="G5" s="3" t="s">
        <v>39</v>
      </c>
      <c r="H5" s="5">
        <v>100</v>
      </c>
    </row>
    <row r="6" spans="1:8" x14ac:dyDescent="0.25">
      <c r="A6" s="3" t="s">
        <v>7</v>
      </c>
      <c r="B6" s="5">
        <v>0.5</v>
      </c>
      <c r="D6" s="7" t="s">
        <v>53</v>
      </c>
      <c r="E6" s="5">
        <f>(B4+B6)*(1-B22)/(B12*1000)/(B16)/(B9/100)*1000000</f>
        <v>3.4375000000000004</v>
      </c>
      <c r="G6" s="3" t="s">
        <v>40</v>
      </c>
      <c r="H6" s="9">
        <f>(1-B22/100)/(B16*(1+B9/100))*0.05*E25*B11*10</f>
        <v>14.465550000000002</v>
      </c>
    </row>
    <row r="7" spans="1:8" x14ac:dyDescent="0.25">
      <c r="A7" s="3" t="s">
        <v>1</v>
      </c>
      <c r="B7" s="5">
        <v>45</v>
      </c>
      <c r="D7" s="7" t="s">
        <v>54</v>
      </c>
      <c r="E7" s="5">
        <f>E6*E25^2</f>
        <v>415.93750000000006</v>
      </c>
      <c r="G7" s="3" t="s">
        <v>42</v>
      </c>
      <c r="H7" s="5">
        <v>50</v>
      </c>
    </row>
    <row r="8" spans="1:8" x14ac:dyDescent="0.25">
      <c r="A8" s="3" t="s">
        <v>0</v>
      </c>
      <c r="B8" s="5">
        <v>4</v>
      </c>
      <c r="D8" s="10"/>
      <c r="E8" s="11"/>
    </row>
    <row r="9" spans="1:8" x14ac:dyDescent="0.25">
      <c r="A9" s="3" t="s">
        <v>2</v>
      </c>
      <c r="B9" s="5">
        <v>100</v>
      </c>
    </row>
    <row r="10" spans="1:8" x14ac:dyDescent="0.25">
      <c r="A10" s="3" t="s">
        <v>8</v>
      </c>
      <c r="B10" s="5"/>
      <c r="D10" s="3" t="s">
        <v>21</v>
      </c>
      <c r="E10" s="4" t="s">
        <v>9</v>
      </c>
      <c r="G10" s="3" t="s">
        <v>41</v>
      </c>
      <c r="H10" s="4" t="s">
        <v>9</v>
      </c>
    </row>
    <row r="11" spans="1:8" x14ac:dyDescent="0.25">
      <c r="A11" s="3" t="s">
        <v>16</v>
      </c>
      <c r="B11" s="5">
        <v>80</v>
      </c>
      <c r="D11" s="3" t="s">
        <v>27</v>
      </c>
      <c r="E11" s="5">
        <v>0.3</v>
      </c>
      <c r="G11" s="3" t="s">
        <v>43</v>
      </c>
      <c r="H11" s="8">
        <f>0.8*(B4+B6)*E25*H7/1000/(H5/H6)</f>
        <v>0.79560525000000015</v>
      </c>
    </row>
    <row r="12" spans="1:8" x14ac:dyDescent="0.25">
      <c r="A12" s="3" t="s">
        <v>19</v>
      </c>
      <c r="B12" s="5">
        <v>150</v>
      </c>
      <c r="D12" s="3" t="s">
        <v>28</v>
      </c>
      <c r="E12" s="5">
        <v>81.400000000000006</v>
      </c>
      <c r="G12" s="3" t="s">
        <v>44</v>
      </c>
      <c r="H12" s="8">
        <f>(2*(B4+B6)*B16*(1+B9/100))/B11*100/(H5/H6)^2/B12</f>
        <v>0.13210362171875004</v>
      </c>
    </row>
    <row r="13" spans="1:8" x14ac:dyDescent="0.25">
      <c r="D13" s="3" t="s">
        <v>49</v>
      </c>
      <c r="E13" s="5" t="s">
        <v>50</v>
      </c>
      <c r="G13" s="3" t="s">
        <v>45</v>
      </c>
      <c r="H13" s="8">
        <f>H4*B2/(H3/H6)/1000000</f>
        <v>8.6793300000000018E-2</v>
      </c>
    </row>
    <row r="14" spans="1:8" x14ac:dyDescent="0.25">
      <c r="D14" s="3" t="s">
        <v>47</v>
      </c>
      <c r="E14" s="5">
        <v>244</v>
      </c>
      <c r="G14" s="3" t="s">
        <v>46</v>
      </c>
      <c r="H14" s="8">
        <f>H2*E25*(B4+B6)/(H3/H6)/1000000</f>
        <v>7.9560525000000021E-2</v>
      </c>
    </row>
    <row r="15" spans="1:8" x14ac:dyDescent="0.25">
      <c r="A15" s="3" t="s">
        <v>14</v>
      </c>
      <c r="B15" s="4" t="s">
        <v>9</v>
      </c>
      <c r="D15" s="3" t="s">
        <v>48</v>
      </c>
      <c r="E15" s="5"/>
      <c r="G15" s="10"/>
      <c r="H15" s="10"/>
    </row>
    <row r="16" spans="1:8" x14ac:dyDescent="0.25">
      <c r="A16" s="3" t="s">
        <v>17</v>
      </c>
      <c r="B16" s="6">
        <f>B5/B4/(1-B7/100)</f>
        <v>15.15151515151515</v>
      </c>
      <c r="D16" s="3"/>
      <c r="E16" s="5"/>
    </row>
    <row r="17" spans="1:5" x14ac:dyDescent="0.25">
      <c r="A17" s="3" t="s">
        <v>18</v>
      </c>
      <c r="B17" s="6">
        <f>B5/B3/B11*10000/B7</f>
        <v>1.2626262626262628</v>
      </c>
      <c r="E17" s="1"/>
    </row>
    <row r="18" spans="1:5" x14ac:dyDescent="0.25">
      <c r="A18" s="3" t="s">
        <v>15</v>
      </c>
      <c r="B18" s="6">
        <f>ROUNDDOWN(B7/100/(1-B7/100)*B3/(B4+B6),0)</f>
        <v>14</v>
      </c>
    </row>
    <row r="19" spans="1:5" x14ac:dyDescent="0.25">
      <c r="A19" s="3" t="s">
        <v>20</v>
      </c>
      <c r="B19" s="6">
        <f>1/(B8/100*B4)*(B5/B4)*(B7/100)/B12*1000</f>
        <v>52.083333333333343</v>
      </c>
      <c r="D19" s="3" t="s">
        <v>22</v>
      </c>
      <c r="E19" s="4" t="s">
        <v>9</v>
      </c>
    </row>
    <row r="20" spans="1:5" x14ac:dyDescent="0.25">
      <c r="A20" s="3" t="s">
        <v>30</v>
      </c>
      <c r="B20" s="8">
        <f xml:space="preserve"> 1/(1+B3/B4/B18)</f>
        <v>0.4329896907216495</v>
      </c>
      <c r="D20" s="3" t="s">
        <v>34</v>
      </c>
      <c r="E20" s="5"/>
    </row>
    <row r="21" spans="1:5" x14ac:dyDescent="0.25">
      <c r="A21" s="3" t="s">
        <v>31</v>
      </c>
      <c r="B21" s="8">
        <f>1/(1+B2/B4/B18)</f>
        <v>0.29577464788732394</v>
      </c>
      <c r="D21" s="3" t="s">
        <v>33</v>
      </c>
      <c r="E21" s="5"/>
    </row>
    <row r="22" spans="1:5" x14ac:dyDescent="0.25">
      <c r="A22" s="3" t="s">
        <v>25</v>
      </c>
      <c r="B22" s="8">
        <f>1/(1+B3/B4/E25)</f>
        <v>0.375</v>
      </c>
      <c r="D22" s="3" t="s">
        <v>32</v>
      </c>
      <c r="E22" s="5"/>
    </row>
    <row r="23" spans="1:5" x14ac:dyDescent="0.25">
      <c r="A23" s="3" t="s">
        <v>26</v>
      </c>
      <c r="B23" s="8">
        <f>1/(1+B2/B4/E25)</f>
        <v>0.24812030075187966</v>
      </c>
      <c r="D23" s="3" t="s">
        <v>23</v>
      </c>
      <c r="E23" s="5">
        <f>ROUNDUP(B2*B21/B12/E12*1000/E11,0)</f>
        <v>33</v>
      </c>
    </row>
    <row r="24" spans="1:5" x14ac:dyDescent="0.25">
      <c r="D24" s="3" t="s">
        <v>24</v>
      </c>
      <c r="E24" s="5">
        <f>ROUNDUP(E23/B18,0)</f>
        <v>3</v>
      </c>
    </row>
    <row r="25" spans="1:5" x14ac:dyDescent="0.25">
      <c r="D25" s="3" t="s">
        <v>29</v>
      </c>
      <c r="E25" s="6">
        <f>E23/E24</f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Belli</dc:creator>
  <cp:lastModifiedBy>Ali Belli</cp:lastModifiedBy>
  <dcterms:created xsi:type="dcterms:W3CDTF">2015-06-05T18:19:34Z</dcterms:created>
  <dcterms:modified xsi:type="dcterms:W3CDTF">2021-04-25T09:58:45Z</dcterms:modified>
</cp:coreProperties>
</file>