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7011da2d366edf5/Belgeler/EE464_term_project_Social_Isiolation/Flyback_converter_AB/"/>
    </mc:Choice>
  </mc:AlternateContent>
  <xr:revisionPtr revIDLastSave="94" documentId="13_ncr:1_{6AB78AAE-B3F2-4BA0-97FA-A65965CC0F00}" xr6:coauthVersionLast="46" xr6:coauthVersionMax="46" xr10:uidLastSave="{4A669CB4-7B4A-48E2-8FC4-85ACD41DCCE4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F24" i="1"/>
  <c r="B19" i="1"/>
  <c r="B16" i="1" l="1"/>
  <c r="B18" i="1" l="1"/>
  <c r="B21" i="1" s="1"/>
  <c r="H18" i="1" s="1"/>
  <c r="B17" i="1"/>
  <c r="E2" i="1"/>
  <c r="H20" i="1" l="1"/>
  <c r="E3" i="1"/>
  <c r="B20" i="1"/>
  <c r="E4" i="1" s="1"/>
  <c r="E25" i="1"/>
  <c r="H21" i="1" l="1"/>
  <c r="H19" i="1"/>
  <c r="E17" i="1"/>
  <c r="E26" i="1"/>
  <c r="E5" i="1" l="1"/>
  <c r="B22" i="1"/>
  <c r="H6" i="1" s="1"/>
  <c r="B23" i="1"/>
  <c r="H11" i="1" l="1"/>
  <c r="H13" i="1"/>
  <c r="H12" i="1"/>
  <c r="H14" i="1"/>
  <c r="E6" i="1"/>
  <c r="E7" i="1" s="1"/>
</calcChain>
</file>

<file path=xl/sharedStrings.xml><?xml version="1.0" encoding="utf-8"?>
<sst xmlns="http://schemas.openxmlformats.org/spreadsheetml/2006/main" count="71" uniqueCount="64">
  <si>
    <t>Desired Output Voltage Ripple(%)</t>
  </si>
  <si>
    <t>Desired Maximum Duty Cycle(%)</t>
  </si>
  <si>
    <t>Desired Inductor Current Ripple(%)</t>
  </si>
  <si>
    <t>Maximum Input Voltage(V)</t>
  </si>
  <si>
    <t>Minumum Input Voltage(V)</t>
  </si>
  <si>
    <t>Output Voltage(V)</t>
  </si>
  <si>
    <t>Output Power(W)</t>
  </si>
  <si>
    <t>Diode On Voltage(V)</t>
  </si>
  <si>
    <t>Mosfet On Resistance(mohm)</t>
  </si>
  <si>
    <t>Values</t>
  </si>
  <si>
    <t xml:space="preserve">Transformer Features </t>
  </si>
  <si>
    <r>
      <t>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</si>
  <si>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Primary Inductance(µH)</t>
  </si>
  <si>
    <t xml:space="preserve">Given Design Parameters </t>
  </si>
  <si>
    <t>Calculated Design Parameters</t>
  </si>
  <si>
    <t>N1/N2 Ratio</t>
  </si>
  <si>
    <t>Estimated Effiency(%)</t>
  </si>
  <si>
    <t>Output Average Current(A)</t>
  </si>
  <si>
    <t>Maximum Input Average Current(A)</t>
  </si>
  <si>
    <t>Switching Frequency(kHz)</t>
  </si>
  <si>
    <t>Minumum Output Capacitor(µF)</t>
  </si>
  <si>
    <t xml:space="preserve">Core Properties </t>
  </si>
  <si>
    <t>N1(turns)</t>
  </si>
  <si>
    <t>N2(turns )</t>
  </si>
  <si>
    <t>Effective Duty Cycle(Min. In Volt.)</t>
  </si>
  <si>
    <t>Effective Duty Cycle(Max. In Volt.)</t>
  </si>
  <si>
    <t>Saturation Flux Density(T)</t>
  </si>
  <si>
    <t>Effective magnetic cross section(mm^2)</t>
  </si>
  <si>
    <t>Effective Turn Ratio</t>
  </si>
  <si>
    <t>Estimated Duty Cycle(Min. In Volt.)</t>
  </si>
  <si>
    <t>Estimated Duty Cycle(Max. In Volt.)</t>
  </si>
  <si>
    <t>Length-specific Resistance(mohm/m)</t>
  </si>
  <si>
    <t>Turns of Wire (per cm)</t>
  </si>
  <si>
    <t>Diameter (mm)</t>
  </si>
  <si>
    <t xml:space="preserve">LT8316 Parameters </t>
  </si>
  <si>
    <t>Minimum switch-off time(ns)</t>
  </si>
  <si>
    <t>Minimum Switch-On Time(ns)</t>
  </si>
  <si>
    <t>Minimum switch current limit(mV/Rsens)</t>
  </si>
  <si>
    <t>Maximum switch current(mV/Rsens)</t>
  </si>
  <si>
    <t>Sense Resistance(mohm)</t>
  </si>
  <si>
    <t xml:space="preserve">LT8316 Inductor Limitations </t>
  </si>
  <si>
    <t>Back-up Time(µs)</t>
  </si>
  <si>
    <t>Maximum Primary Limitation(mH)</t>
  </si>
  <si>
    <t>Minimum Primary Limitation-1(mH)</t>
  </si>
  <si>
    <t>Minimum Primary Limitation-2(mH)</t>
  </si>
  <si>
    <t>Minimum Primary Limitation-3(mH)</t>
  </si>
  <si>
    <t>Inductance Factor(nH/turn^2)</t>
  </si>
  <si>
    <t>Average Length of Turn(mm)</t>
  </si>
  <si>
    <t>Window Area(Winding Cross Section)(mm^2)</t>
  </si>
  <si>
    <r>
      <t>Estimated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</si>
  <si>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Estimated Primary Inductance(µH)</t>
  </si>
  <si>
    <r>
      <t>Effective Secondary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</si>
  <si>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Effective Primary Inductance(µH)</t>
  </si>
  <si>
    <t>Maximum Wiring Area (mm^2)</t>
  </si>
  <si>
    <t xml:space="preserve">Transformer Properties </t>
  </si>
  <si>
    <t>Primary Resistance(mohm)</t>
  </si>
  <si>
    <t>Secondary Resistance(mohm)</t>
  </si>
  <si>
    <t>Secondary Inductance(µH)</t>
  </si>
  <si>
    <r>
      <t>Primary Inductance(</t>
    </r>
    <r>
      <rPr>
        <b/>
        <sz val="11"/>
        <color theme="1"/>
        <rFont val="Arial Tur"/>
        <charset val="162"/>
      </rPr>
      <t>µ</t>
    </r>
    <r>
      <rPr>
        <b/>
        <sz val="11"/>
        <color theme="1"/>
        <rFont val="Calibri"/>
        <family val="2"/>
        <charset val="162"/>
      </rPr>
      <t>H</t>
    </r>
    <r>
      <rPr>
        <b/>
        <sz val="11"/>
        <color theme="1"/>
        <rFont val="Calibri"/>
        <family val="2"/>
        <charset val="162"/>
        <scheme val="minor"/>
      </rPr>
      <t>)</t>
    </r>
  </si>
  <si>
    <t>Effective magnetic path length (mm)</t>
  </si>
  <si>
    <t>Relative permeability of core material</t>
  </si>
  <si>
    <t>Airgap (mm)</t>
  </si>
  <si>
    <t>Wiring Properties (AWG 15)</t>
  </si>
  <si>
    <t>Turn rationun max değerini düşün!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</si>
</sst>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Arial Tur"/>
      <charset val="162"/>
    </font>
    <font>
      <b/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K5" sqref="K5"/>
    </sheetView>
  </sheetViews>
  <sheetFormatPr defaultRowHeight="14.4" x14ac:dyDescent="0.3"/>
  <cols>
    <col min="1" max="1" width="34.44140625" style="1" customWidth="1"/>
    <col min="2" max="2" width="9.109375" style="2"/>
    <col min="3" max="3" width="3.109375" customWidth="1"/>
    <col min="4" max="4" width="42.109375" style="1" customWidth="1"/>
    <col min="5" max="5" width="9.109375" style="2"/>
    <col min="6" max="6" width="2.88671875" customWidth="1"/>
    <col min="7" max="7" width="44.33203125" style="1" customWidth="1"/>
    <col min="8" max="8" width="11.44140625" style="2" customWidth="1"/>
  </cols>
  <sheetData>
    <row r="1" spans="1:8" x14ac:dyDescent="0.3">
      <c r="A1" s="3" t="s">
        <v>13</v>
      </c>
      <c r="B1" s="4" t="s">
        <v>9</v>
      </c>
      <c r="D1" s="7" t="s">
        <v>10</v>
      </c>
      <c r="E1" s="4" t="s">
        <v>9</v>
      </c>
      <c r="G1" s="3" t="s">
        <v>34</v>
      </c>
      <c r="H1" s="4" t="s">
        <v>9</v>
      </c>
    </row>
    <row r="2" spans="1:8" x14ac:dyDescent="0.3">
      <c r="A2" s="3" t="s">
        <v>3</v>
      </c>
      <c r="B2" s="5">
        <v>400</v>
      </c>
      <c r="D2" s="7" t="s">
        <v>11</v>
      </c>
      <c r="E2" s="6">
        <f>(B4+B6)*(1-B7/100)/(B12*1000)/(B16)/(B9/100)*1000000</f>
        <v>4.5267857142857135</v>
      </c>
      <c r="G2" s="3" t="s">
        <v>35</v>
      </c>
      <c r="H2" s="5">
        <v>800</v>
      </c>
    </row>
    <row r="3" spans="1:8" x14ac:dyDescent="0.3">
      <c r="A3" s="3" t="s">
        <v>4</v>
      </c>
      <c r="B3" s="5">
        <v>220</v>
      </c>
      <c r="D3" s="7" t="s">
        <v>12</v>
      </c>
      <c r="E3" s="6">
        <f>E2*B18^2</f>
        <v>366.66964285714278</v>
      </c>
      <c r="G3" s="3" t="s">
        <v>37</v>
      </c>
      <c r="H3" s="5">
        <v>20</v>
      </c>
    </row>
    <row r="4" spans="1:8" x14ac:dyDescent="0.3">
      <c r="A4" s="3" t="s">
        <v>5</v>
      </c>
      <c r="B4" s="5">
        <v>12</v>
      </c>
      <c r="D4" s="7" t="s">
        <v>49</v>
      </c>
      <c r="E4" s="5">
        <f>(B4+B6)*(1-B20)/(B12*1000)/(B16)/(B9/100)*1000000</f>
        <v>4.6711672473867596</v>
      </c>
      <c r="G4" s="3" t="s">
        <v>36</v>
      </c>
      <c r="H4" s="5">
        <v>300</v>
      </c>
    </row>
    <row r="5" spans="1:8" x14ac:dyDescent="0.3">
      <c r="A5" s="3" t="s">
        <v>6</v>
      </c>
      <c r="B5" s="5">
        <v>100</v>
      </c>
      <c r="D5" s="7" t="s">
        <v>50</v>
      </c>
      <c r="E5" s="5">
        <f>E4*E26^2</f>
        <v>324.38661440185837</v>
      </c>
      <c r="G5" s="3" t="s">
        <v>38</v>
      </c>
      <c r="H5" s="5">
        <v>100</v>
      </c>
    </row>
    <row r="6" spans="1:8" x14ac:dyDescent="0.3">
      <c r="A6" s="3" t="s">
        <v>7</v>
      </c>
      <c r="B6" s="5">
        <v>0.5</v>
      </c>
      <c r="D6" s="7" t="s">
        <v>51</v>
      </c>
      <c r="E6" s="5">
        <f>(B4+B6)*(1-B22)/(B12*1000)/(B16)/(B9/100)*1000000</f>
        <v>4.7879464285714288</v>
      </c>
      <c r="G6" s="3" t="s">
        <v>39</v>
      </c>
      <c r="H6" s="9">
        <f>(1-B22)/(B5/B4)*0.05*E26*B11*10</f>
        <v>27.499999999999996</v>
      </c>
    </row>
    <row r="7" spans="1:8" x14ac:dyDescent="0.3">
      <c r="A7" s="3" t="s">
        <v>1</v>
      </c>
      <c r="B7" s="5">
        <v>35</v>
      </c>
      <c r="D7" s="7" t="s">
        <v>52</v>
      </c>
      <c r="E7" s="5">
        <f>E6*E26^2</f>
        <v>332.49627976190482</v>
      </c>
      <c r="G7" s="3" t="s">
        <v>41</v>
      </c>
      <c r="H7" s="5">
        <v>50</v>
      </c>
    </row>
    <row r="8" spans="1:8" x14ac:dyDescent="0.3">
      <c r="A8" s="3" t="s">
        <v>0</v>
      </c>
      <c r="B8" s="5">
        <v>4</v>
      </c>
      <c r="D8" s="10"/>
      <c r="E8" s="11"/>
    </row>
    <row r="9" spans="1:8" x14ac:dyDescent="0.3">
      <c r="A9" s="3" t="s">
        <v>2</v>
      </c>
      <c r="B9" s="5">
        <v>100</v>
      </c>
    </row>
    <row r="10" spans="1:8" x14ac:dyDescent="0.3">
      <c r="A10" s="3" t="s">
        <v>8</v>
      </c>
      <c r="B10" s="5"/>
      <c r="D10" s="3" t="s">
        <v>21</v>
      </c>
      <c r="E10" s="4" t="s">
        <v>9</v>
      </c>
      <c r="G10" s="3" t="s">
        <v>40</v>
      </c>
      <c r="H10" s="4" t="s">
        <v>9</v>
      </c>
    </row>
    <row r="11" spans="1:8" x14ac:dyDescent="0.3">
      <c r="A11" s="3" t="s">
        <v>16</v>
      </c>
      <c r="B11" s="5">
        <v>80</v>
      </c>
      <c r="D11" s="3" t="s">
        <v>26</v>
      </c>
      <c r="E11" s="5">
        <v>0.3</v>
      </c>
      <c r="G11" s="3" t="s">
        <v>42</v>
      </c>
      <c r="H11" s="8">
        <f>0.8*(B4+B6)*E26*H7/1000/(H5/H6)</f>
        <v>1.1458333333333333</v>
      </c>
    </row>
    <row r="12" spans="1:8" x14ac:dyDescent="0.3">
      <c r="A12" s="3" t="s">
        <v>19</v>
      </c>
      <c r="B12" s="5">
        <v>140</v>
      </c>
      <c r="D12" s="3" t="s">
        <v>27</v>
      </c>
      <c r="E12" s="5">
        <v>76</v>
      </c>
      <c r="G12" s="3" t="s">
        <v>43</v>
      </c>
      <c r="H12" s="8">
        <f>(2*(B4+B6)*B5/B4)/B11*100/(H5/H6)^2/B12</f>
        <v>0.14067150297619047</v>
      </c>
    </row>
    <row r="13" spans="1:8" x14ac:dyDescent="0.3">
      <c r="D13" s="3" t="s">
        <v>48</v>
      </c>
      <c r="E13" s="5">
        <v>97</v>
      </c>
      <c r="G13" s="3" t="s">
        <v>44</v>
      </c>
      <c r="H13" s="8">
        <f>H4*B2/(H3/H6)/1000000</f>
        <v>0.16499999999999998</v>
      </c>
    </row>
    <row r="14" spans="1:8" x14ac:dyDescent="0.3">
      <c r="D14" s="3" t="s">
        <v>46</v>
      </c>
      <c r="E14" s="5">
        <v>383</v>
      </c>
      <c r="G14" s="3" t="s">
        <v>45</v>
      </c>
      <c r="H14" s="8">
        <f>H2*E26*(B4+B6)/(H3/H6)/1000000</f>
        <v>0.11458333333333333</v>
      </c>
    </row>
    <row r="15" spans="1:8" x14ac:dyDescent="0.3">
      <c r="A15" s="3" t="s">
        <v>14</v>
      </c>
      <c r="B15" s="4" t="s">
        <v>9</v>
      </c>
      <c r="D15" s="3" t="s">
        <v>47</v>
      </c>
      <c r="E15" s="5">
        <v>52.8</v>
      </c>
      <c r="G15" s="10"/>
      <c r="H15" s="10"/>
    </row>
    <row r="16" spans="1:8" x14ac:dyDescent="0.3">
      <c r="A16" s="3" t="s">
        <v>17</v>
      </c>
      <c r="B16" s="6">
        <f>B5/B4/(1-B7/100)</f>
        <v>12.820512820512821</v>
      </c>
      <c r="D16" s="3" t="s">
        <v>59</v>
      </c>
      <c r="E16" s="13">
        <v>70.400000000000006</v>
      </c>
    </row>
    <row r="17" spans="1:8" x14ac:dyDescent="0.3">
      <c r="A17" s="3" t="s">
        <v>18</v>
      </c>
      <c r="B17" s="6">
        <f>B5/B3/B11*10000/B7</f>
        <v>1.6233766233766234</v>
      </c>
      <c r="D17" s="3" t="s">
        <v>53</v>
      </c>
      <c r="E17" s="12">
        <f>E13*0.6/(E25*2+E24)</f>
        <v>1.8774193548387095</v>
      </c>
      <c r="G17" s="3" t="s">
        <v>54</v>
      </c>
      <c r="H17" s="4" t="s">
        <v>9</v>
      </c>
    </row>
    <row r="18" spans="1:8" x14ac:dyDescent="0.3">
      <c r="A18" s="3" t="s">
        <v>15</v>
      </c>
      <c r="B18" s="6">
        <f>ROUNDDOWN(B7/100/(1-B7/100)*B3/(B4+B6),0)</f>
        <v>9</v>
      </c>
      <c r="D18" s="3" t="s">
        <v>60</v>
      </c>
      <c r="E18" s="5">
        <v>1470</v>
      </c>
      <c r="G18" s="7" t="s">
        <v>58</v>
      </c>
      <c r="H18" s="5">
        <f>E14*E24^2/1000</f>
        <v>239.375</v>
      </c>
    </row>
    <row r="19" spans="1:8" x14ac:dyDescent="0.3">
      <c r="A19" s="3" t="s">
        <v>20</v>
      </c>
      <c r="B19" s="6">
        <f>1/(B8/100*B4)*(B5/B4)*(B7/100)/B12*1000</f>
        <v>43.402777777777786</v>
      </c>
      <c r="G19" s="7" t="s">
        <v>57</v>
      </c>
      <c r="H19" s="5">
        <f>E14*E25^2/1000</f>
        <v>3.4470000000000001</v>
      </c>
    </row>
    <row r="20" spans="1:8" x14ac:dyDescent="0.3">
      <c r="A20" s="3" t="s">
        <v>29</v>
      </c>
      <c r="B20" s="8">
        <f xml:space="preserve"> 1/(1+B3/B4/B18)</f>
        <v>0.32926829268292684</v>
      </c>
      <c r="D20" s="3" t="s">
        <v>62</v>
      </c>
      <c r="E20" s="4" t="s">
        <v>9</v>
      </c>
      <c r="G20" s="3" t="s">
        <v>55</v>
      </c>
      <c r="H20" s="5">
        <f>E23*E24/1000*E15</f>
        <v>13.793999999999999</v>
      </c>
    </row>
    <row r="21" spans="1:8" x14ac:dyDescent="0.3">
      <c r="A21" s="3" t="s">
        <v>30</v>
      </c>
      <c r="B21" s="8">
        <f>1/(1+B2/B4/B18)</f>
        <v>0.21259842519685038</v>
      </c>
      <c r="D21" s="3" t="s">
        <v>33</v>
      </c>
      <c r="E21" s="5">
        <v>1.45</v>
      </c>
      <c r="G21" s="3" t="s">
        <v>56</v>
      </c>
      <c r="H21" s="5">
        <f>E25*E15*E23/1000</f>
        <v>1.6552799999999996</v>
      </c>
    </row>
    <row r="22" spans="1:8" x14ac:dyDescent="0.3">
      <c r="A22" s="3" t="s">
        <v>24</v>
      </c>
      <c r="B22" s="8">
        <f>1/(1+B3/B4/E26)</f>
        <v>0.3125</v>
      </c>
      <c r="D22" s="3" t="s">
        <v>32</v>
      </c>
      <c r="E22" s="5">
        <v>6.9</v>
      </c>
      <c r="G22" s="3" t="s">
        <v>61</v>
      </c>
      <c r="H22" s="5">
        <f>(4*3.1415*10^-7*E24^2*E12/H18-(E16*10^-3/(E18)))*1000</f>
        <v>0.20146027956874654</v>
      </c>
    </row>
    <row r="23" spans="1:8" x14ac:dyDescent="0.3">
      <c r="A23" s="3" t="s">
        <v>25</v>
      </c>
      <c r="B23" s="8">
        <f>1/(1+B2/B4/E26)</f>
        <v>0.2</v>
      </c>
      <c r="D23" s="3" t="s">
        <v>31</v>
      </c>
      <c r="E23" s="5">
        <v>10.45</v>
      </c>
    </row>
    <row r="24" spans="1:8" x14ac:dyDescent="0.3">
      <c r="D24" s="3" t="s">
        <v>22</v>
      </c>
      <c r="E24" s="5">
        <v>25</v>
      </c>
      <c r="F24">
        <f>ROUNDUP(B2*B21/B12/E12*1000/E11,0)</f>
        <v>27</v>
      </c>
    </row>
    <row r="25" spans="1:8" x14ac:dyDescent="0.3">
      <c r="A25" s="1" t="s">
        <v>63</v>
      </c>
      <c r="D25" s="3" t="s">
        <v>23</v>
      </c>
      <c r="E25" s="5">
        <f>ROUNDUP(E24/B18,0)</f>
        <v>3</v>
      </c>
    </row>
    <row r="26" spans="1:8" x14ac:dyDescent="0.3">
      <c r="D26" s="3" t="s">
        <v>28</v>
      </c>
      <c r="E26" s="6">
        <f>E24/E25</f>
        <v>8.3333333333333339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Belli</dc:creator>
  <cp:lastModifiedBy>ahmethalistr@outlook.com</cp:lastModifiedBy>
  <dcterms:created xsi:type="dcterms:W3CDTF">2015-06-05T18:19:34Z</dcterms:created>
  <dcterms:modified xsi:type="dcterms:W3CDTF">2021-04-26T20:40:45Z</dcterms:modified>
</cp:coreProperties>
</file>