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4.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drawings/drawing5.xml" ContentType="application/vnd.openxmlformats-officedocument.drawing+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tables/table45.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8"/>
  <workbookPr hidePivotFieldList="1" defaultThemeVersion="166925"/>
  <mc:AlternateContent xmlns:mc="http://schemas.openxmlformats.org/markup-compatibility/2006">
    <mc:Choice Requires="x15">
      <x15ac:absPath xmlns:x15ac="http://schemas.microsoft.com/office/spreadsheetml/2010/11/ac" url="C:\Users\zande\Documents\mysql\hsPerformance\"/>
    </mc:Choice>
  </mc:AlternateContent>
  <xr:revisionPtr revIDLastSave="2235" documentId="13_ncr:9_{053E2985-1EE8-4BEE-9A11-6A6D970494D9}" xr6:coauthVersionLast="47" xr6:coauthVersionMax="47" xr10:uidLastSave="{2C2EDD42-FEF7-4B15-8879-A99F6A1595AF}"/>
  <bookViews>
    <workbookView xWindow="-108" yWindow="-108" windowWidth="23256" windowHeight="12456" activeTab="5" xr2:uid="{00000000-000D-0000-FFFF-FFFF00000000}"/>
  </bookViews>
  <sheets>
    <sheet name="general_analytics" sheetId="6" r:id="rId1"/>
    <sheet name="zero_score_analytics" sheetId="3" r:id="rId2"/>
    <sheet name="median_score_analytics" sheetId="4" r:id="rId3"/>
    <sheet name="max_score_analytics" sheetId="5" r:id="rId4"/>
    <sheet name="min_med_max_analytics" sheetId="7" r:id="rId5"/>
    <sheet name="pivot_tables" sheetId="9" r:id="rId6"/>
    <sheet name="student_data_clean" sheetId="1" r:id="rId7"/>
  </sheets>
  <calcPr calcId="191028"/>
  <pivotCaches>
    <pivotCache cacheId="19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1" i="7" l="1"/>
  <c r="N201" i="7"/>
  <c r="M203" i="7"/>
  <c r="N203" i="7"/>
  <c r="O203" i="7"/>
  <c r="M204" i="7"/>
  <c r="N204" i="7"/>
  <c r="O204" i="7"/>
  <c r="M206" i="7"/>
  <c r="N206" i="7"/>
  <c r="O206" i="7"/>
  <c r="M207" i="7"/>
  <c r="N207" i="7"/>
  <c r="O207" i="7"/>
  <c r="N209" i="7"/>
  <c r="O209" i="7"/>
  <c r="N210" i="7"/>
  <c r="O210" i="7"/>
  <c r="M212" i="7"/>
  <c r="N212" i="7"/>
  <c r="O212" i="7"/>
  <c r="M213" i="7"/>
  <c r="N213" i="7"/>
  <c r="O213" i="7"/>
  <c r="G213" i="7"/>
  <c r="F213" i="7"/>
  <c r="E213" i="7"/>
  <c r="G212" i="7"/>
  <c r="F212" i="7"/>
  <c r="E212" i="7"/>
  <c r="G210" i="7"/>
  <c r="F210" i="7"/>
  <c r="E210" i="7"/>
  <c r="G209" i="7"/>
  <c r="F209" i="7"/>
  <c r="E209" i="7"/>
  <c r="G207" i="7"/>
  <c r="F207" i="7"/>
  <c r="E207" i="7"/>
  <c r="G206" i="7"/>
  <c r="F206" i="7"/>
  <c r="E206" i="7"/>
  <c r="G204" i="7"/>
  <c r="F204" i="7"/>
  <c r="G203" i="7"/>
  <c r="F203" i="7"/>
  <c r="L166" i="7"/>
  <c r="O165" i="7"/>
  <c r="N165" i="7"/>
  <c r="M165" i="7"/>
  <c r="L165" i="7"/>
  <c r="O164" i="7"/>
  <c r="N164" i="7"/>
  <c r="L164" i="7"/>
  <c r="O163" i="7"/>
  <c r="N163" i="7"/>
  <c r="M163" i="7"/>
  <c r="L163" i="7"/>
  <c r="O162" i="7"/>
  <c r="N162" i="7"/>
  <c r="M162" i="7"/>
  <c r="L162" i="7"/>
  <c r="O161" i="7"/>
  <c r="N161" i="7"/>
  <c r="M161" i="7"/>
  <c r="L161" i="7"/>
  <c r="D166" i="7"/>
  <c r="G165" i="7"/>
  <c r="F165" i="7"/>
  <c r="E165" i="7"/>
  <c r="D165" i="7"/>
  <c r="G164" i="7"/>
  <c r="F164" i="7"/>
  <c r="E164" i="7"/>
  <c r="D164" i="7"/>
  <c r="G163" i="7"/>
  <c r="F163" i="7"/>
  <c r="D163" i="7"/>
  <c r="G162" i="7"/>
  <c r="E162" i="7"/>
  <c r="D162" i="7"/>
  <c r="G161" i="7"/>
  <c r="F161" i="7"/>
  <c r="E161" i="7"/>
  <c r="D161" i="7"/>
  <c r="L128" i="7"/>
  <c r="O127" i="7"/>
  <c r="N127" i="7"/>
  <c r="M127" i="7"/>
  <c r="L127" i="7"/>
  <c r="O126" i="7"/>
  <c r="N126" i="7"/>
  <c r="M126" i="7"/>
  <c r="L126" i="7"/>
  <c r="O125" i="7"/>
  <c r="N125" i="7"/>
  <c r="L125" i="7"/>
  <c r="O124" i="7"/>
  <c r="N124" i="7"/>
  <c r="M124" i="7"/>
  <c r="L124" i="7"/>
  <c r="O123" i="7"/>
  <c r="N123" i="7"/>
  <c r="M123" i="7"/>
  <c r="L123" i="7"/>
  <c r="D128" i="7"/>
  <c r="G127" i="7"/>
  <c r="F127" i="7"/>
  <c r="E127" i="7"/>
  <c r="D127" i="7"/>
  <c r="G126" i="7"/>
  <c r="F126" i="7"/>
  <c r="E126" i="7"/>
  <c r="D126" i="7"/>
  <c r="F125" i="7"/>
  <c r="E125" i="7"/>
  <c r="D125" i="7"/>
  <c r="G124" i="7"/>
  <c r="F124" i="7"/>
  <c r="E124" i="7"/>
  <c r="D124" i="7"/>
  <c r="G123" i="7"/>
  <c r="F123" i="7"/>
  <c r="E123" i="7"/>
  <c r="D123" i="7"/>
  <c r="O88" i="7"/>
  <c r="N88" i="7"/>
  <c r="M88" i="7"/>
  <c r="O87" i="7"/>
  <c r="N87" i="7"/>
  <c r="M87" i="7"/>
  <c r="O86" i="7"/>
  <c r="N86" i="7"/>
  <c r="M86" i="7"/>
  <c r="O85" i="7"/>
  <c r="N85" i="7"/>
  <c r="M85" i="7"/>
  <c r="D90" i="7"/>
  <c r="D89" i="7"/>
  <c r="G88" i="7"/>
  <c r="F88" i="7"/>
  <c r="E88" i="7"/>
  <c r="D88" i="7"/>
  <c r="G87" i="7"/>
  <c r="F87" i="7"/>
  <c r="E87" i="7"/>
  <c r="D87" i="7"/>
  <c r="G86" i="7"/>
  <c r="F86" i="7"/>
  <c r="E86" i="7"/>
  <c r="D86" i="7"/>
  <c r="G85" i="7"/>
  <c r="F85" i="7"/>
  <c r="E85" i="7"/>
  <c r="D85" i="7"/>
  <c r="L52" i="7"/>
  <c r="L51" i="7"/>
  <c r="O50" i="7"/>
  <c r="N50" i="7"/>
  <c r="M50" i="7"/>
  <c r="L50" i="7"/>
  <c r="O49" i="7"/>
  <c r="N49" i="7"/>
  <c r="M49" i="7"/>
  <c r="L49" i="7"/>
  <c r="O48" i="7"/>
  <c r="N48" i="7"/>
  <c r="M48" i="7"/>
  <c r="L48" i="7"/>
  <c r="O47" i="7"/>
  <c r="N47" i="7"/>
  <c r="M47" i="7"/>
  <c r="L47" i="7"/>
  <c r="P4" i="7"/>
  <c r="P3" i="7"/>
  <c r="P2" i="7"/>
  <c r="O3" i="7"/>
  <c r="O2" i="7"/>
  <c r="N4" i="7"/>
  <c r="N3" i="7"/>
  <c r="N2" i="7"/>
  <c r="D52" i="7"/>
  <c r="D51" i="7"/>
  <c r="G50" i="7"/>
  <c r="F50" i="7"/>
  <c r="E50" i="7"/>
  <c r="D50" i="7"/>
  <c r="G49" i="7"/>
  <c r="F49" i="7"/>
  <c r="E49" i="7"/>
  <c r="D49" i="7"/>
  <c r="G48" i="7"/>
  <c r="F48" i="7"/>
  <c r="E48" i="7"/>
  <c r="D48" i="7"/>
  <c r="G47" i="7"/>
  <c r="F47" i="7"/>
  <c r="E47" i="7"/>
  <c r="D47" i="7"/>
  <c r="L13" i="7"/>
  <c r="O12" i="7"/>
  <c r="N12" i="7"/>
  <c r="L12" i="7"/>
  <c r="O11" i="7"/>
  <c r="N11" i="7"/>
  <c r="M11" i="7"/>
  <c r="L11" i="7"/>
  <c r="O10" i="7"/>
  <c r="N10" i="7"/>
  <c r="M10" i="7"/>
  <c r="L10" i="7"/>
  <c r="O9" i="7"/>
  <c r="N9" i="7"/>
  <c r="M9" i="7"/>
  <c r="L9" i="7"/>
  <c r="G12" i="7"/>
  <c r="F12" i="7"/>
  <c r="E12" i="7"/>
  <c r="G11" i="7"/>
  <c r="F11" i="7"/>
  <c r="G10" i="7"/>
  <c r="F10" i="7"/>
  <c r="E10" i="7"/>
  <c r="G9" i="7"/>
  <c r="F9" i="7"/>
  <c r="E9" i="7"/>
  <c r="G129" i="6"/>
  <c r="F129" i="6"/>
  <c r="E129" i="6"/>
  <c r="G128" i="6"/>
  <c r="F128" i="6"/>
  <c r="E128" i="6"/>
  <c r="G126" i="6"/>
  <c r="F126" i="6"/>
  <c r="E126" i="6"/>
  <c r="G125" i="6"/>
  <c r="F125" i="6"/>
  <c r="E125" i="6"/>
  <c r="G123" i="6"/>
  <c r="F123" i="6"/>
  <c r="E123" i="6"/>
  <c r="G122" i="6"/>
  <c r="F122" i="6"/>
  <c r="E122" i="6"/>
  <c r="G120" i="6"/>
  <c r="F120" i="6"/>
  <c r="E120" i="6"/>
  <c r="G119" i="6"/>
  <c r="F119" i="6"/>
  <c r="E119" i="6"/>
  <c r="G117" i="6"/>
  <c r="F117" i="6"/>
  <c r="E117" i="6"/>
  <c r="G116" i="6"/>
  <c r="F116" i="6"/>
  <c r="E116" i="6"/>
  <c r="F114" i="6"/>
  <c r="E114" i="6"/>
  <c r="G104" i="6"/>
  <c r="F104" i="6"/>
  <c r="E104" i="6"/>
  <c r="G100" i="6"/>
  <c r="F100" i="6"/>
  <c r="G99" i="6"/>
  <c r="F99" i="6"/>
  <c r="E99" i="6"/>
  <c r="G98" i="6"/>
  <c r="F98" i="6"/>
  <c r="E98" i="6"/>
  <c r="G97" i="6"/>
  <c r="F97" i="6"/>
  <c r="E97" i="6"/>
  <c r="G96" i="6"/>
  <c r="F96" i="6"/>
  <c r="E96" i="6"/>
  <c r="G95" i="6"/>
  <c r="F95" i="6"/>
  <c r="E95" i="6"/>
  <c r="G94" i="6"/>
  <c r="F94" i="6"/>
  <c r="E94" i="6"/>
  <c r="G93" i="6"/>
  <c r="F93" i="6"/>
  <c r="E93" i="6"/>
  <c r="G92" i="6"/>
  <c r="F92" i="6"/>
  <c r="E92" i="6"/>
  <c r="G91" i="6"/>
  <c r="F91" i="6"/>
  <c r="E91" i="6"/>
  <c r="G90" i="6"/>
  <c r="F90" i="6"/>
  <c r="E90" i="6"/>
  <c r="G89" i="6"/>
  <c r="F89" i="6"/>
  <c r="E89" i="6"/>
  <c r="G88" i="6"/>
  <c r="F88" i="6"/>
  <c r="E88" i="6"/>
  <c r="G87" i="6"/>
  <c r="F87" i="6"/>
  <c r="E87" i="6"/>
  <c r="G86" i="6"/>
  <c r="F86" i="6"/>
  <c r="E86" i="6"/>
  <c r="G85" i="6"/>
  <c r="F85" i="6"/>
  <c r="E85" i="6"/>
  <c r="G84" i="6"/>
  <c r="E84" i="6"/>
  <c r="G70" i="6"/>
  <c r="G69" i="6"/>
  <c r="G68" i="6"/>
  <c r="G67" i="6"/>
  <c r="G66" i="6"/>
  <c r="E56" i="6"/>
  <c r="G55" i="6"/>
  <c r="G54" i="6"/>
  <c r="G53" i="6"/>
  <c r="G52" i="6"/>
  <c r="G51" i="6"/>
  <c r="F26" i="6"/>
  <c r="E26" i="6"/>
  <c r="D10" i="6"/>
  <c r="C10" i="6"/>
  <c r="B10" i="6"/>
  <c r="G9" i="6"/>
  <c r="F9" i="6"/>
  <c r="E9" i="6"/>
  <c r="D9" i="6"/>
  <c r="G8" i="6"/>
  <c r="F8" i="6"/>
  <c r="E8" i="6"/>
  <c r="D8" i="6"/>
  <c r="G7" i="6"/>
  <c r="F7" i="6"/>
  <c r="E7" i="6"/>
  <c r="D7" i="6"/>
  <c r="G6" i="6"/>
  <c r="F6" i="6"/>
  <c r="E6" i="6"/>
  <c r="D6" i="6"/>
  <c r="F83" i="4"/>
  <c r="E83" i="4"/>
  <c r="G9" i="4"/>
  <c r="G8" i="4"/>
  <c r="G7" i="4"/>
  <c r="G6" i="4"/>
  <c r="F9" i="4"/>
  <c r="F8" i="4"/>
  <c r="F7" i="4"/>
  <c r="F6" i="4"/>
  <c r="E8" i="4"/>
  <c r="E7" i="4"/>
  <c r="E6" i="4"/>
  <c r="D6" i="4"/>
  <c r="D7" i="4"/>
  <c r="D8" i="4"/>
  <c r="D9" i="4"/>
  <c r="D10" i="4"/>
  <c r="G25" i="4"/>
  <c r="G24" i="4"/>
  <c r="G23" i="4"/>
  <c r="G21" i="4"/>
  <c r="G22" i="4"/>
  <c r="F25" i="4"/>
  <c r="F24" i="4"/>
  <c r="F23" i="4"/>
  <c r="F21" i="4"/>
  <c r="F22" i="4"/>
  <c r="E25" i="4"/>
  <c r="E24" i="4"/>
  <c r="E22" i="4"/>
  <c r="E21" i="4"/>
  <c r="D21" i="4"/>
  <c r="D22" i="4"/>
  <c r="D23" i="4"/>
  <c r="D24" i="4"/>
  <c r="D25" i="4"/>
  <c r="D26" i="4"/>
  <c r="G40" i="4"/>
  <c r="G39" i="4"/>
  <c r="G38" i="4"/>
  <c r="G37" i="4"/>
  <c r="G36" i="4"/>
  <c r="F40" i="4"/>
  <c r="F39" i="4"/>
  <c r="F38" i="4"/>
  <c r="F37" i="4"/>
  <c r="F36" i="4"/>
  <c r="E40" i="4"/>
  <c r="E38" i="4"/>
  <c r="E37" i="4"/>
  <c r="E36" i="4"/>
  <c r="D36" i="4"/>
  <c r="D37" i="4"/>
  <c r="D38" i="4"/>
  <c r="D39" i="4"/>
  <c r="D40" i="4"/>
  <c r="D41" i="4"/>
  <c r="G54" i="4"/>
  <c r="G53" i="4"/>
  <c r="G52" i="4"/>
  <c r="G51" i="4"/>
  <c r="F54" i="4"/>
  <c r="F53" i="4"/>
  <c r="F52" i="4"/>
  <c r="F51" i="4"/>
  <c r="E54" i="4"/>
  <c r="E53" i="4"/>
  <c r="E52" i="4"/>
  <c r="E51" i="4"/>
  <c r="D51" i="4"/>
  <c r="D52" i="4"/>
  <c r="D53" i="4"/>
  <c r="D54" i="4"/>
  <c r="D55" i="4"/>
  <c r="D56" i="4"/>
  <c r="G69" i="4"/>
  <c r="G68" i="4"/>
  <c r="G67" i="4"/>
  <c r="G66" i="4"/>
  <c r="F69" i="4"/>
  <c r="F68" i="4"/>
  <c r="F66" i="4"/>
  <c r="F67" i="4"/>
  <c r="E69" i="4"/>
  <c r="E68" i="4"/>
  <c r="E66" i="4"/>
  <c r="E67" i="4"/>
  <c r="G98" i="4"/>
  <c r="G97" i="4"/>
  <c r="G95" i="4"/>
  <c r="G94" i="4"/>
  <c r="G92" i="4"/>
  <c r="G91" i="4"/>
  <c r="G89" i="4"/>
  <c r="G88" i="4"/>
  <c r="G86" i="4"/>
  <c r="G85" i="4"/>
  <c r="F98" i="4"/>
  <c r="F97" i="4"/>
  <c r="E97" i="4"/>
  <c r="F95" i="4"/>
  <c r="F94" i="4"/>
  <c r="F92" i="4"/>
  <c r="F91" i="4"/>
  <c r="F89" i="4"/>
  <c r="F88" i="4"/>
  <c r="F86" i="4"/>
  <c r="F85" i="4"/>
  <c r="E98" i="4"/>
  <c r="E92" i="4"/>
  <c r="E91" i="4"/>
  <c r="E89" i="4"/>
  <c r="E88" i="4"/>
  <c r="E86" i="4"/>
  <c r="E85" i="4"/>
  <c r="G98" i="3"/>
  <c r="G97" i="3"/>
  <c r="G95" i="3"/>
  <c r="G94" i="3"/>
  <c r="G92" i="3"/>
  <c r="G91" i="3"/>
  <c r="G89" i="3"/>
  <c r="G88" i="3"/>
  <c r="G86" i="3"/>
  <c r="G85" i="3"/>
  <c r="F98" i="3"/>
  <c r="F97" i="3"/>
  <c r="F95" i="3"/>
  <c r="F94" i="3"/>
  <c r="F92" i="3"/>
  <c r="F91" i="3"/>
  <c r="F89" i="3"/>
  <c r="F88" i="3"/>
  <c r="F86" i="3"/>
  <c r="F85" i="3"/>
  <c r="E98" i="3"/>
  <c r="E97" i="3"/>
  <c r="E95" i="3"/>
  <c r="E94" i="3"/>
  <c r="E92" i="3"/>
  <c r="E91" i="3"/>
  <c r="E86" i="3"/>
  <c r="E85" i="3"/>
  <c r="G69" i="3"/>
  <c r="G68" i="3"/>
  <c r="G67" i="3"/>
  <c r="G66" i="3"/>
  <c r="F69" i="3"/>
  <c r="F68" i="3"/>
  <c r="F67" i="3"/>
  <c r="F66" i="3"/>
  <c r="E69" i="3"/>
  <c r="E68" i="3"/>
  <c r="E67" i="3"/>
  <c r="E66" i="3"/>
  <c r="D66" i="3"/>
  <c r="D67" i="3"/>
  <c r="D68" i="3"/>
  <c r="D69" i="3"/>
  <c r="D70" i="3"/>
  <c r="D71" i="3"/>
  <c r="G54" i="3"/>
  <c r="G53" i="3"/>
  <c r="G52" i="3"/>
  <c r="G51" i="3"/>
  <c r="F54" i="3"/>
  <c r="F53" i="3"/>
  <c r="F52" i="3"/>
  <c r="F51" i="3"/>
  <c r="E54" i="3"/>
  <c r="E53" i="3"/>
  <c r="E52" i="3"/>
  <c r="E51" i="3"/>
  <c r="D51" i="3"/>
  <c r="D52" i="3"/>
  <c r="D53" i="3"/>
  <c r="D54" i="3"/>
  <c r="D55" i="3"/>
  <c r="D56" i="3"/>
  <c r="G40" i="3"/>
  <c r="G39" i="3"/>
  <c r="G38" i="3"/>
  <c r="G37" i="3"/>
  <c r="G36" i="3"/>
  <c r="F40" i="3"/>
  <c r="F39" i="3"/>
  <c r="F38" i="3"/>
  <c r="F36" i="3"/>
  <c r="E40" i="3"/>
  <c r="E39" i="3"/>
  <c r="E37" i="3"/>
  <c r="E36" i="3"/>
  <c r="D36" i="3"/>
  <c r="D37" i="3"/>
  <c r="D38" i="3"/>
  <c r="D39" i="3"/>
  <c r="D40" i="3"/>
  <c r="D41" i="3"/>
  <c r="G25" i="3"/>
  <c r="G24" i="3"/>
  <c r="G22" i="3"/>
  <c r="G21" i="3"/>
  <c r="F25" i="3"/>
  <c r="F24" i="3"/>
  <c r="F23" i="3"/>
  <c r="F22" i="3"/>
  <c r="F21" i="3"/>
  <c r="E25" i="3"/>
  <c r="E24" i="3"/>
  <c r="E23" i="3"/>
  <c r="E22" i="3"/>
  <c r="E21" i="3"/>
  <c r="D21" i="3"/>
  <c r="D22" i="3"/>
  <c r="D23" i="3"/>
  <c r="D24" i="3"/>
  <c r="D25" i="3"/>
  <c r="D26" i="3"/>
  <c r="G9" i="3"/>
  <c r="G8" i="3"/>
  <c r="G7" i="3"/>
  <c r="G6" i="3"/>
  <c r="F9" i="3"/>
  <c r="F8" i="3"/>
  <c r="F7" i="3"/>
  <c r="F6" i="3"/>
  <c r="E9" i="3"/>
  <c r="E7" i="3"/>
  <c r="E6" i="3"/>
</calcChain>
</file>

<file path=xl/sharedStrings.xml><?xml version="1.0" encoding="utf-8"?>
<sst xmlns="http://schemas.openxmlformats.org/spreadsheetml/2006/main" count="7050" uniqueCount="164">
  <si>
    <t>Study Time</t>
  </si>
  <si>
    <t>Time</t>
  </si>
  <si>
    <t>Male</t>
  </si>
  <si>
    <t>Female</t>
  </si>
  <si>
    <t>Total</t>
  </si>
  <si>
    <t>Male %</t>
  </si>
  <si>
    <t>Female %</t>
  </si>
  <si>
    <t>Total %</t>
  </si>
  <si>
    <t>&lt; 2 Hours</t>
  </si>
  <si>
    <t>2 to 5 Hours</t>
  </si>
  <si>
    <t>5 to 10 Hours</t>
  </si>
  <si>
    <t>&gt; 10 Hours</t>
  </si>
  <si>
    <t>Father Career</t>
  </si>
  <si>
    <t>Career</t>
  </si>
  <si>
    <t>M % of Total</t>
  </si>
  <si>
    <t>F % of Total</t>
  </si>
  <si>
    <t>Services</t>
  </si>
  <si>
    <t>Teacher</t>
  </si>
  <si>
    <t>Health</t>
  </si>
  <si>
    <t>Home Spouse</t>
  </si>
  <si>
    <t>Other</t>
  </si>
  <si>
    <t>Mother Career</t>
  </si>
  <si>
    <t>Father Education</t>
  </si>
  <si>
    <t>Education</t>
  </si>
  <si>
    <t xml:space="preserve">Primary Ed. </t>
  </si>
  <si>
    <t>5th to 9th</t>
  </si>
  <si>
    <t>Secondary Ed.</t>
  </si>
  <si>
    <t>Higher Ed.</t>
  </si>
  <si>
    <t>No Ed.</t>
  </si>
  <si>
    <t>Mother Education</t>
  </si>
  <si>
    <t>Final Grade (0-20)</t>
  </si>
  <si>
    <t>Grade</t>
  </si>
  <si>
    <t>Avg Grade (0-20)</t>
  </si>
  <si>
    <t>Median Grade (0-20)</t>
  </si>
  <si>
    <t>General Stats</t>
  </si>
  <si>
    <t>Attribute</t>
  </si>
  <si>
    <t>Average Age</t>
  </si>
  <si>
    <t>Average Absences</t>
  </si>
  <si>
    <t>Median Absences</t>
  </si>
  <si>
    <t>Amount</t>
  </si>
  <si>
    <t>Urban</t>
  </si>
  <si>
    <t>Rural</t>
  </si>
  <si>
    <t>Parents Together</t>
  </si>
  <si>
    <t>Parents Separated</t>
  </si>
  <si>
    <t>Extracurricular</t>
  </si>
  <si>
    <t>No Extracurricular</t>
  </si>
  <si>
    <t>Internet</t>
  </si>
  <si>
    <t>No Internet</t>
  </si>
  <si>
    <t>Dating</t>
  </si>
  <si>
    <t>Not Dating</t>
  </si>
  <si>
    <t>Time Spent Studying</t>
  </si>
  <si>
    <t>Males</t>
  </si>
  <si>
    <t>Females</t>
  </si>
  <si>
    <t xml:space="preserve"> Total %</t>
  </si>
  <si>
    <t>2 - 5 Hours</t>
  </si>
  <si>
    <t>5 - 10 Hours</t>
  </si>
  <si>
    <t>Civil Services</t>
  </si>
  <si>
    <t>Health Care</t>
  </si>
  <si>
    <t>Stay at Home</t>
  </si>
  <si>
    <t>Primary (4th)</t>
  </si>
  <si>
    <t>Secondary</t>
  </si>
  <si>
    <t>Higher Ed</t>
  </si>
  <si>
    <t>None</t>
  </si>
  <si>
    <t>Stats</t>
  </si>
  <si>
    <t>Total Students</t>
  </si>
  <si>
    <t>No Dating</t>
  </si>
  <si>
    <t xml:space="preserve"> </t>
  </si>
  <si>
    <t>Totals</t>
  </si>
  <si>
    <t>Range</t>
  </si>
  <si>
    <t xml:space="preserve">Males % </t>
  </si>
  <si>
    <t>Females %</t>
  </si>
  <si>
    <t>Min</t>
  </si>
  <si>
    <t>Median</t>
  </si>
  <si>
    <t>Max</t>
  </si>
  <si>
    <t>Time Spent Studying (Min)</t>
  </si>
  <si>
    <t>Time Spent Studying (Max)</t>
  </si>
  <si>
    <t>Father Education (Min)</t>
  </si>
  <si>
    <t>Father Education (Median)</t>
  </si>
  <si>
    <t>Father Education (Max)</t>
  </si>
  <si>
    <t>Mother Education (Min)</t>
  </si>
  <si>
    <t>Mother Education (Median)</t>
  </si>
  <si>
    <t>Father Career (Min)</t>
  </si>
  <si>
    <t>Father Career (Median)</t>
  </si>
  <si>
    <t>Father Career (Max)</t>
  </si>
  <si>
    <t>General Stats (Min)</t>
  </si>
  <si>
    <t>General Stats (Median)</t>
  </si>
  <si>
    <t>General Stats (Max)</t>
  </si>
  <si>
    <t>Total Count of Mother Education</t>
  </si>
  <si>
    <t>Final Grade =</t>
  </si>
  <si>
    <t xml:space="preserve">Final Grade = </t>
  </si>
  <si>
    <t>Mother of student's educaton</t>
  </si>
  <si>
    <t>Gender</t>
  </si>
  <si>
    <t>F Student</t>
  </si>
  <si>
    <t>M Student</t>
  </si>
  <si>
    <t>Grand Total</t>
  </si>
  <si>
    <t>Mother of Student Who Scored 0</t>
  </si>
  <si>
    <t>Mother of Student Who Scored 11</t>
  </si>
  <si>
    <t>Mother of Student Who Scored 20</t>
  </si>
  <si>
    <t>Secondary Ed. (9th to 12th)</t>
  </si>
  <si>
    <t>Primary Ed. (Up to 4th)</t>
  </si>
  <si>
    <t>5th to 9th grade</t>
  </si>
  <si>
    <t>higher education</t>
  </si>
  <si>
    <t>No Education</t>
  </si>
  <si>
    <t>Higher Education</t>
  </si>
  <si>
    <t>Primary Ed (4th Grade)</t>
  </si>
  <si>
    <t>Secondary Ed (9th to 12th)</t>
  </si>
  <si>
    <t>Secondary Ed (10th to 12th)</t>
  </si>
  <si>
    <t>Total Count of Father Education</t>
  </si>
  <si>
    <t>Count of Father Education (Total Students)</t>
  </si>
  <si>
    <t>Count of Father Education</t>
  </si>
  <si>
    <t>Count of Father Ed (Median)</t>
  </si>
  <si>
    <t>Count of Father Ed (Max)</t>
  </si>
  <si>
    <t>Primary Ed (up to 4th)</t>
  </si>
  <si>
    <t xml:space="preserve">Higher Ed </t>
  </si>
  <si>
    <t xml:space="preserve"> The Mother's education of the same student</t>
  </si>
  <si>
    <t>5th to 9th grade Total</t>
  </si>
  <si>
    <t>Higher Ed  Total</t>
  </si>
  <si>
    <t>Primary Ed (4th Grade) Total</t>
  </si>
  <si>
    <t>Secondary Ed (10th to 12th) Total</t>
  </si>
  <si>
    <t>student_id</t>
  </si>
  <si>
    <t>school</t>
  </si>
  <si>
    <t>sex</t>
  </si>
  <si>
    <t>age</t>
  </si>
  <si>
    <t>address_type</t>
  </si>
  <si>
    <t>family_size</t>
  </si>
  <si>
    <t>parent_status</t>
  </si>
  <si>
    <t>mother_education</t>
  </si>
  <si>
    <t>father_education</t>
  </si>
  <si>
    <t>mother_job</t>
  </si>
  <si>
    <t>father_job</t>
  </si>
  <si>
    <t>study_time</t>
  </si>
  <si>
    <t>class_failures</t>
  </si>
  <si>
    <t>school_support</t>
  </si>
  <si>
    <t>extra_paid_classes</t>
  </si>
  <si>
    <t>activities</t>
  </si>
  <si>
    <t>nursery_school</t>
  </si>
  <si>
    <t>internet_access</t>
  </si>
  <si>
    <t>romantic_relationship</t>
  </si>
  <si>
    <t>absences</t>
  </si>
  <si>
    <t>grade_1</t>
  </si>
  <si>
    <t>grade_2</t>
  </si>
  <si>
    <t>final_grade</t>
  </si>
  <si>
    <t>MS</t>
  </si>
  <si>
    <t>F</t>
  </si>
  <si>
    <t>Greater than 3</t>
  </si>
  <si>
    <t>Living together</t>
  </si>
  <si>
    <t>primary education (4th grade)</t>
  </si>
  <si>
    <t>other</t>
  </si>
  <si>
    <t>2 to 5 hours</t>
  </si>
  <si>
    <t>no</t>
  </si>
  <si>
    <t>yes</t>
  </si>
  <si>
    <t>GP</t>
  </si>
  <si>
    <t>Less than or equal to 3</t>
  </si>
  <si>
    <t>services</t>
  </si>
  <si>
    <t>&gt;10 hours</t>
  </si>
  <si>
    <t>Apart</t>
  </si>
  <si>
    <t>at_home</t>
  </si>
  <si>
    <t>&lt;2 hours</t>
  </si>
  <si>
    <t>secondary education</t>
  </si>
  <si>
    <t>health</t>
  </si>
  <si>
    <t>teacher</t>
  </si>
  <si>
    <t>5 to 10 hours</t>
  </si>
  <si>
    <t>M</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</si>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</sst>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3C404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3" fillId="33" borderId="10" xfId="0" applyFont="1" applyFill="1" applyBorder="1"/>
    <xf numFmtId="0" fontId="13" fillId="33" borderId="11" xfId="0" applyFont="1" applyFill="1" applyBorder="1"/>
    <xf numFmtId="10" fontId="0" fillId="0" borderId="0" xfId="0" applyNumberFormat="1"/>
    <xf numFmtId="0" fontId="13" fillId="33" borderId="12" xfId="0" applyFont="1" applyFill="1" applyBorder="1"/>
    <xf numFmtId="0" fontId="13" fillId="33" borderId="13" xfId="0" applyFont="1" applyFill="1" applyBorder="1"/>
    <xf numFmtId="0" fontId="13" fillId="33" borderId="14" xfId="0" applyFont="1" applyFill="1" applyBorder="1"/>
    <xf numFmtId="0" fontId="13" fillId="33" borderId="15" xfId="0" applyFont="1" applyFill="1" applyBorder="1"/>
    <xf numFmtId="0" fontId="13" fillId="33" borderId="0" xfId="0" applyFont="1" applyFill="1"/>
    <xf numFmtId="0" fontId="18" fillId="0" borderId="0" xfId="0" applyFont="1"/>
    <xf numFmtId="0" fontId="0" fillId="0" borderId="0" xfId="0" applyAlignment="1">
      <alignment wrapText="1"/>
    </xf>
    <xf numFmtId="0" fontId="13" fillId="34" borderId="16" xfId="0" applyFont="1" applyFill="1" applyBorder="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9">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4" formatCode="0.00%"/>
    </dxf>
    <dxf>
      <numFmt numFmtId="14" formatCode="0.00%"/>
    </dxf>
    <dxf>
      <numFmt numFmtId="14" formatCode="0.0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4" tint="0.39997558519241921"/>
        </left>
        <right style="thin">
          <color theme="4" tint="0.39997558519241921"/>
        </right>
        <top/>
        <bottom/>
      </border>
    </dxf>
    <dxf>
      <numFmt numFmtId="14" formatCode="0.00%"/>
    </dxf>
    <dxf>
      <numFmt numFmtId="14" formatCode="0.00%"/>
    </dxf>
    <dxf>
      <numFmt numFmtId="1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Hours Spent Studying (Boys)</a:t>
            </a:r>
          </a:p>
        </c:rich>
      </c:tx>
      <c:overlay val="0"/>
      <c:spPr>
        <a:solidFill>
          <a:srgbClr val="FFFFFF"/>
        </a:solidFill>
        <a:ln>
          <a:solidFill>
            <a:srgbClr val="FFFFFF"/>
          </a:solidFill>
          <a:prstDash val="solid"/>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39-441E-85DB-26B55293F8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39-441E-85DB-26B55293F8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39-441E-85DB-26B55293F8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39-441E-85DB-26B55293F826}"/>
              </c:ext>
            </c:extLst>
          </c:dPt>
          <c:cat>
            <c:strRef>
              <c:f>general_analytics!$A$6:$A$9</c:f>
              <c:strCache>
                <c:ptCount val="4"/>
                <c:pt idx="0">
                  <c:v>&lt; 2 Hours</c:v>
                </c:pt>
                <c:pt idx="1">
                  <c:v>2 to 5 Hours</c:v>
                </c:pt>
                <c:pt idx="2">
                  <c:v>5 to 10 Hours</c:v>
                </c:pt>
                <c:pt idx="3">
                  <c:v>&gt; 10 Hours</c:v>
                </c:pt>
              </c:strCache>
            </c:strRef>
          </c:cat>
          <c:val>
            <c:numRef>
              <c:f>general_analytics!$E$6:$E$9</c:f>
              <c:numCache>
                <c:formatCode>0.00%</c:formatCode>
                <c:ptCount val="4"/>
                <c:pt idx="0">
                  <c:v>0.41711229946524064</c:v>
                </c:pt>
                <c:pt idx="1">
                  <c:v>0.45454545454545453</c:v>
                </c:pt>
                <c:pt idx="2">
                  <c:v>7.4866310160427801E-2</c:v>
                </c:pt>
                <c:pt idx="3">
                  <c:v>5.3475935828877004E-2</c:v>
                </c:pt>
              </c:numCache>
            </c:numRef>
          </c:val>
          <c:extLst>
            <c:ext xmlns:c16="http://schemas.microsoft.com/office/drawing/2014/chart" uri="{C3380CC4-5D6E-409C-BE32-E72D297353CC}">
              <c16:uniqueId val="{00000001-BDE6-4547-A93E-DD99E87CE11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Education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F8-4A51-84ED-F240C483F3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F8-4A51-84ED-F240C483F3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F8-4A51-84ED-F240C483F3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F8-4A51-84ED-F240C483F3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F8-4A51-84ED-F240C483F313}"/>
              </c:ext>
            </c:extLst>
          </c:dPt>
          <c:cat>
            <c:strRef>
              <c:f>general_analytics!$A$66:$A$70</c:f>
              <c:strCache>
                <c:ptCount val="5"/>
                <c:pt idx="0">
                  <c:v>Primary Ed. </c:v>
                </c:pt>
                <c:pt idx="1">
                  <c:v>5th to 9th</c:v>
                </c:pt>
                <c:pt idx="2">
                  <c:v>Secondary Ed.</c:v>
                </c:pt>
                <c:pt idx="3">
                  <c:v>Higher Ed.</c:v>
                </c:pt>
                <c:pt idx="4">
                  <c:v>No Ed.</c:v>
                </c:pt>
              </c:strCache>
            </c:strRef>
          </c:cat>
          <c:val>
            <c:numRef>
              <c:f>general_analytics!$F$66:$F$70</c:f>
              <c:numCache>
                <c:formatCode>0.00%</c:formatCode>
                <c:ptCount val="5"/>
                <c:pt idx="0">
                  <c:v>0.15379999999999999</c:v>
                </c:pt>
                <c:pt idx="1">
                  <c:v>0.28849999999999998</c:v>
                </c:pt>
                <c:pt idx="2">
                  <c:v>0.25480000000000003</c:v>
                </c:pt>
                <c:pt idx="3">
                  <c:v>0.29330000000000001</c:v>
                </c:pt>
                <c:pt idx="4">
                  <c:v>9.5999999999999992E-3</c:v>
                </c:pt>
              </c:numCache>
            </c:numRef>
          </c:val>
          <c:extLst>
            <c:ext xmlns:c16="http://schemas.microsoft.com/office/drawing/2014/chart" uri="{C3380CC4-5D6E-409C-BE32-E72D297353CC}">
              <c16:uniqueId val="{00000001-C246-427E-8976-78AF2548AF5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Final Grade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barChart>
        <c:barDir val="col"/>
        <c:grouping val="clustered"/>
        <c:varyColors val="0"/>
        <c:ser>
          <c:idx val="0"/>
          <c:order val="0"/>
          <c:tx>
            <c:strRef>
              <c:f>general_analytics!$B$80</c:f>
              <c:strCache>
                <c:ptCount val="1"/>
                <c:pt idx="0">
                  <c:v>Male</c:v>
                </c:pt>
              </c:strCache>
            </c:strRef>
          </c:tx>
          <c:spPr>
            <a:solidFill>
              <a:schemeClr val="accent1"/>
            </a:solidFill>
            <a:ln>
              <a:noFill/>
            </a:ln>
            <a:effectLst/>
          </c:spPr>
          <c:invertIfNegative val="0"/>
          <c:cat>
            <c:numRef>
              <c:f>general_analytics!$A$84:$A$104</c:f>
              <c:numCache>
                <c:formatCode>General</c:formatCode>
                <c:ptCount val="21"/>
                <c:pt idx="0">
                  <c:v>20</c:v>
                </c:pt>
                <c:pt idx="1">
                  <c:v>19</c:v>
                </c:pt>
                <c:pt idx="2">
                  <c:v>18</c:v>
                </c:pt>
                <c:pt idx="3">
                  <c:v>17</c:v>
                </c:pt>
                <c:pt idx="4">
                  <c:v>16</c:v>
                </c:pt>
                <c:pt idx="5">
                  <c:v>15</c:v>
                </c:pt>
                <c:pt idx="6">
                  <c:v>14</c:v>
                </c:pt>
                <c:pt idx="7">
                  <c:v>13</c:v>
                </c:pt>
                <c:pt idx="8">
                  <c:v>12</c:v>
                </c:pt>
                <c:pt idx="9">
                  <c:v>11</c:v>
                </c:pt>
                <c:pt idx="10">
                  <c:v>10</c:v>
                </c:pt>
                <c:pt idx="11">
                  <c:v>9</c:v>
                </c:pt>
                <c:pt idx="12">
                  <c:v>8</c:v>
                </c:pt>
                <c:pt idx="13">
                  <c:v>7</c:v>
                </c:pt>
                <c:pt idx="14">
                  <c:v>6</c:v>
                </c:pt>
                <c:pt idx="15">
                  <c:v>5</c:v>
                </c:pt>
                <c:pt idx="16">
                  <c:v>4</c:v>
                </c:pt>
                <c:pt idx="17">
                  <c:v>3</c:v>
                </c:pt>
                <c:pt idx="18">
                  <c:v>2</c:v>
                </c:pt>
                <c:pt idx="19">
                  <c:v>1</c:v>
                </c:pt>
                <c:pt idx="20">
                  <c:v>0</c:v>
                </c:pt>
              </c:numCache>
            </c:numRef>
          </c:cat>
          <c:val>
            <c:numRef>
              <c:f>general_analytics!$B$84:$B$104</c:f>
              <c:numCache>
                <c:formatCode>General</c:formatCode>
                <c:ptCount val="21"/>
                <c:pt idx="0">
                  <c:v>1</c:v>
                </c:pt>
                <c:pt idx="1">
                  <c:v>3</c:v>
                </c:pt>
                <c:pt idx="2">
                  <c:v>7</c:v>
                </c:pt>
                <c:pt idx="3">
                  <c:v>3</c:v>
                </c:pt>
                <c:pt idx="4">
                  <c:v>10</c:v>
                </c:pt>
                <c:pt idx="5">
                  <c:v>17</c:v>
                </c:pt>
                <c:pt idx="6">
                  <c:v>13</c:v>
                </c:pt>
                <c:pt idx="7">
                  <c:v>14</c:v>
                </c:pt>
                <c:pt idx="8">
                  <c:v>20</c:v>
                </c:pt>
                <c:pt idx="9">
                  <c:v>18</c:v>
                </c:pt>
                <c:pt idx="10">
                  <c:v>26</c:v>
                </c:pt>
                <c:pt idx="11">
                  <c:v>11</c:v>
                </c:pt>
                <c:pt idx="12">
                  <c:v>18</c:v>
                </c:pt>
                <c:pt idx="13">
                  <c:v>5</c:v>
                </c:pt>
                <c:pt idx="14">
                  <c:v>2</c:v>
                </c:pt>
                <c:pt idx="15">
                  <c:v>4</c:v>
                </c:pt>
                <c:pt idx="16">
                  <c:v>0</c:v>
                </c:pt>
                <c:pt idx="17">
                  <c:v>0</c:v>
                </c:pt>
                <c:pt idx="18">
                  <c:v>0</c:v>
                </c:pt>
                <c:pt idx="19">
                  <c:v>0</c:v>
                </c:pt>
                <c:pt idx="20">
                  <c:v>15</c:v>
                </c:pt>
              </c:numCache>
            </c:numRef>
          </c:val>
          <c:extLst>
            <c:ext xmlns:c16="http://schemas.microsoft.com/office/drawing/2014/chart" uri="{C3380CC4-5D6E-409C-BE32-E72D297353CC}">
              <c16:uniqueId val="{00000001-4A30-4DAA-B9EF-F15CA3FF732E}"/>
            </c:ext>
          </c:extLst>
        </c:ser>
        <c:ser>
          <c:idx val="1"/>
          <c:order val="1"/>
          <c:tx>
            <c:strRef>
              <c:f>general_analytics!$C$80</c:f>
              <c:strCache>
                <c:ptCount val="1"/>
                <c:pt idx="0">
                  <c:v>Female</c:v>
                </c:pt>
              </c:strCache>
            </c:strRef>
          </c:tx>
          <c:spPr>
            <a:solidFill>
              <a:schemeClr val="accent2"/>
            </a:solidFill>
            <a:ln>
              <a:noFill/>
            </a:ln>
            <a:effectLst/>
          </c:spPr>
          <c:invertIfNegative val="0"/>
          <c:cat>
            <c:numRef>
              <c:f>general_analytics!$A$84:$A$104</c:f>
              <c:numCache>
                <c:formatCode>General</c:formatCode>
                <c:ptCount val="21"/>
                <c:pt idx="0">
                  <c:v>20</c:v>
                </c:pt>
                <c:pt idx="1">
                  <c:v>19</c:v>
                </c:pt>
                <c:pt idx="2">
                  <c:v>18</c:v>
                </c:pt>
                <c:pt idx="3">
                  <c:v>17</c:v>
                </c:pt>
                <c:pt idx="4">
                  <c:v>16</c:v>
                </c:pt>
                <c:pt idx="5">
                  <c:v>15</c:v>
                </c:pt>
                <c:pt idx="6">
                  <c:v>14</c:v>
                </c:pt>
                <c:pt idx="7">
                  <c:v>13</c:v>
                </c:pt>
                <c:pt idx="8">
                  <c:v>12</c:v>
                </c:pt>
                <c:pt idx="9">
                  <c:v>11</c:v>
                </c:pt>
                <c:pt idx="10">
                  <c:v>10</c:v>
                </c:pt>
                <c:pt idx="11">
                  <c:v>9</c:v>
                </c:pt>
                <c:pt idx="12">
                  <c:v>8</c:v>
                </c:pt>
                <c:pt idx="13">
                  <c:v>7</c:v>
                </c:pt>
                <c:pt idx="14">
                  <c:v>6</c:v>
                </c:pt>
                <c:pt idx="15">
                  <c:v>5</c:v>
                </c:pt>
                <c:pt idx="16">
                  <c:v>4</c:v>
                </c:pt>
                <c:pt idx="17">
                  <c:v>3</c:v>
                </c:pt>
                <c:pt idx="18">
                  <c:v>2</c:v>
                </c:pt>
                <c:pt idx="19">
                  <c:v>1</c:v>
                </c:pt>
                <c:pt idx="20">
                  <c:v>0</c:v>
                </c:pt>
              </c:numCache>
            </c:numRef>
          </c:cat>
          <c:val>
            <c:numRef>
              <c:f>general_analytics!$C$84:$C$104</c:f>
              <c:numCache>
                <c:formatCode>General</c:formatCode>
                <c:ptCount val="21"/>
                <c:pt idx="0">
                  <c:v>0</c:v>
                </c:pt>
                <c:pt idx="1">
                  <c:v>2</c:v>
                </c:pt>
                <c:pt idx="2">
                  <c:v>5</c:v>
                </c:pt>
                <c:pt idx="3">
                  <c:v>3</c:v>
                </c:pt>
                <c:pt idx="4">
                  <c:v>6</c:v>
                </c:pt>
                <c:pt idx="5">
                  <c:v>16</c:v>
                </c:pt>
                <c:pt idx="6">
                  <c:v>14</c:v>
                </c:pt>
                <c:pt idx="7">
                  <c:v>17</c:v>
                </c:pt>
                <c:pt idx="8">
                  <c:v>11</c:v>
                </c:pt>
                <c:pt idx="9">
                  <c:v>29</c:v>
                </c:pt>
                <c:pt idx="10">
                  <c:v>30</c:v>
                </c:pt>
                <c:pt idx="11">
                  <c:v>17</c:v>
                </c:pt>
                <c:pt idx="12">
                  <c:v>14</c:v>
                </c:pt>
                <c:pt idx="13">
                  <c:v>4</c:v>
                </c:pt>
                <c:pt idx="14">
                  <c:v>13</c:v>
                </c:pt>
                <c:pt idx="15">
                  <c:v>3</c:v>
                </c:pt>
                <c:pt idx="16">
                  <c:v>1</c:v>
                </c:pt>
                <c:pt idx="17">
                  <c:v>0</c:v>
                </c:pt>
                <c:pt idx="18">
                  <c:v>0</c:v>
                </c:pt>
                <c:pt idx="19">
                  <c:v>0</c:v>
                </c:pt>
                <c:pt idx="20">
                  <c:v>23</c:v>
                </c:pt>
              </c:numCache>
            </c:numRef>
          </c:val>
          <c:extLst>
            <c:ext xmlns:c16="http://schemas.microsoft.com/office/drawing/2014/chart" uri="{C3380CC4-5D6E-409C-BE32-E72D297353CC}">
              <c16:uniqueId val="{00000003-4A30-4DAA-B9EF-F15CA3FF732E}"/>
            </c:ext>
          </c:extLst>
        </c:ser>
        <c:dLbls>
          <c:showLegendKey val="0"/>
          <c:showVal val="0"/>
          <c:showCatName val="0"/>
          <c:showSerName val="0"/>
          <c:showPercent val="0"/>
          <c:showBubbleSize val="0"/>
        </c:dLbls>
        <c:gapWidth val="219"/>
        <c:overlap val="-27"/>
        <c:axId val="919616008"/>
        <c:axId val="919618056"/>
      </c:barChart>
      <c:catAx>
        <c:axId val="91961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18056"/>
        <c:crosses val="autoZero"/>
        <c:auto val="1"/>
        <c:lblAlgn val="ctr"/>
        <c:lblOffset val="100"/>
        <c:noMultiLvlLbl val="0"/>
      </c:catAx>
      <c:valAx>
        <c:axId val="91961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1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Residence Type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F0-474D-89DB-E12EF963C4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F0-474D-89DB-E12EF963C49E}"/>
              </c:ext>
            </c:extLst>
          </c:dPt>
          <c:cat>
            <c:strRef>
              <c:f>general_analytics!$A$116:$A$117</c:f>
              <c:strCache>
                <c:ptCount val="2"/>
                <c:pt idx="0">
                  <c:v>Urban</c:v>
                </c:pt>
                <c:pt idx="1">
                  <c:v>Rural</c:v>
                </c:pt>
              </c:strCache>
            </c:strRef>
          </c:cat>
          <c:val>
            <c:numRef>
              <c:f>general_analytics!$E$116:$E$117</c:f>
              <c:numCache>
                <c:formatCode>0.00%</c:formatCode>
                <c:ptCount val="2"/>
                <c:pt idx="0">
                  <c:v>0.76470588235294112</c:v>
                </c:pt>
                <c:pt idx="1">
                  <c:v>0.23529411764705882</c:v>
                </c:pt>
              </c:numCache>
            </c:numRef>
          </c:val>
          <c:extLst>
            <c:ext xmlns:c16="http://schemas.microsoft.com/office/drawing/2014/chart" uri="{C3380CC4-5D6E-409C-BE32-E72D297353CC}">
              <c16:uniqueId val="{00000001-7A53-427A-8E9E-AE8CEB12EE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Residence Type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EC-4C64-A0B6-C7778C7FBE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EC-4C64-A0B6-C7778C7FBECF}"/>
              </c:ext>
            </c:extLst>
          </c:dPt>
          <c:cat>
            <c:strRef>
              <c:f>general_analytics!$A$116:$A$117</c:f>
              <c:strCache>
                <c:ptCount val="2"/>
                <c:pt idx="0">
                  <c:v>Urban</c:v>
                </c:pt>
                <c:pt idx="1">
                  <c:v>Rural</c:v>
                </c:pt>
              </c:strCache>
            </c:strRef>
          </c:cat>
          <c:val>
            <c:numRef>
              <c:f>general_analytics!$F$116:$F$117</c:f>
              <c:numCache>
                <c:formatCode>0.00%</c:formatCode>
                <c:ptCount val="2"/>
                <c:pt idx="0">
                  <c:v>0.78846153846153844</c:v>
                </c:pt>
                <c:pt idx="1">
                  <c:v>0.21153846153846154</c:v>
                </c:pt>
              </c:numCache>
            </c:numRef>
          </c:val>
          <c:extLst>
            <c:ext xmlns:c16="http://schemas.microsoft.com/office/drawing/2014/chart" uri="{C3380CC4-5D6E-409C-BE32-E72D297353CC}">
              <c16:uniqueId val="{00000001-0388-4FB3-AB0A-A812B243D6A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Parents' Marital Status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10-4492-89D5-041B9B0555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10-4492-89D5-041B9B05558D}"/>
              </c:ext>
            </c:extLst>
          </c:dPt>
          <c:cat>
            <c:strRef>
              <c:f>general_analytics!$A$119:$A$120</c:f>
              <c:strCache>
                <c:ptCount val="2"/>
                <c:pt idx="0">
                  <c:v>Parents Together</c:v>
                </c:pt>
                <c:pt idx="1">
                  <c:v>Parents Separated</c:v>
                </c:pt>
              </c:strCache>
            </c:strRef>
          </c:cat>
          <c:val>
            <c:numRef>
              <c:f>general_analytics!$E$119:$E$120</c:f>
              <c:numCache>
                <c:formatCode>0.00%</c:formatCode>
                <c:ptCount val="2"/>
                <c:pt idx="0">
                  <c:v>0.90374331550802134</c:v>
                </c:pt>
                <c:pt idx="1">
                  <c:v>9.6256684491978606E-2</c:v>
                </c:pt>
              </c:numCache>
            </c:numRef>
          </c:val>
          <c:extLst>
            <c:ext xmlns:c16="http://schemas.microsoft.com/office/drawing/2014/chart" uri="{C3380CC4-5D6E-409C-BE32-E72D297353CC}">
              <c16:uniqueId val="{00000001-05CA-4B80-952C-881626B2558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Parents' Marital Status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07-469B-B2A7-090A01F685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07-469B-B2A7-090A01F68501}"/>
              </c:ext>
            </c:extLst>
          </c:dPt>
          <c:cat>
            <c:strRef>
              <c:f>general_analytics!$A$119:$A$120</c:f>
              <c:strCache>
                <c:ptCount val="2"/>
                <c:pt idx="0">
                  <c:v>Parents Together</c:v>
                </c:pt>
                <c:pt idx="1">
                  <c:v>Parents Separated</c:v>
                </c:pt>
              </c:strCache>
            </c:strRef>
          </c:cat>
          <c:val>
            <c:numRef>
              <c:f>general_analytics!$F$119:$F$120</c:f>
              <c:numCache>
                <c:formatCode>0.00%</c:formatCode>
                <c:ptCount val="2"/>
                <c:pt idx="0">
                  <c:v>0.88942307692307687</c:v>
                </c:pt>
                <c:pt idx="1">
                  <c:v>0.11057692307692307</c:v>
                </c:pt>
              </c:numCache>
            </c:numRef>
          </c:val>
          <c:extLst>
            <c:ext xmlns:c16="http://schemas.microsoft.com/office/drawing/2014/chart" uri="{C3380CC4-5D6E-409C-BE32-E72D297353CC}">
              <c16:uniqueId val="{00000001-5767-4731-B6EE-5DADE15CC4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After School Activities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E9-406D-8FF0-1FB62ED23B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E9-406D-8FF0-1FB62ED23BF5}"/>
              </c:ext>
            </c:extLst>
          </c:dPt>
          <c:cat>
            <c:strRef>
              <c:f>general_analytics!$A$122:$A$123</c:f>
              <c:strCache>
                <c:ptCount val="2"/>
                <c:pt idx="0">
                  <c:v>Extracurricular</c:v>
                </c:pt>
                <c:pt idx="1">
                  <c:v>No Extracurricular</c:v>
                </c:pt>
              </c:strCache>
            </c:strRef>
          </c:cat>
          <c:val>
            <c:numRef>
              <c:f>general_analytics!$E$122:$E$123</c:f>
              <c:numCache>
                <c:formatCode>0.00%</c:formatCode>
                <c:ptCount val="2"/>
                <c:pt idx="0">
                  <c:v>0.43850267379679142</c:v>
                </c:pt>
                <c:pt idx="1">
                  <c:v>0.56149732620320858</c:v>
                </c:pt>
              </c:numCache>
            </c:numRef>
          </c:val>
          <c:extLst>
            <c:ext xmlns:c16="http://schemas.microsoft.com/office/drawing/2014/chart" uri="{C3380CC4-5D6E-409C-BE32-E72D297353CC}">
              <c16:uniqueId val="{00000001-E96B-499E-9A21-F547BBA0939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After School Activities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EB-42DC-BC90-23C038EB0C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EB-42DC-BC90-23C038EB0CEC}"/>
              </c:ext>
            </c:extLst>
          </c:dPt>
          <c:cat>
            <c:strRef>
              <c:f>general_analytics!$A$122:$A$123</c:f>
              <c:strCache>
                <c:ptCount val="2"/>
                <c:pt idx="0">
                  <c:v>Extracurricular</c:v>
                </c:pt>
                <c:pt idx="1">
                  <c:v>No Extracurricular</c:v>
                </c:pt>
              </c:strCache>
            </c:strRef>
          </c:cat>
          <c:val>
            <c:numRef>
              <c:f>general_analytics!$F$122:$F$123</c:f>
              <c:numCache>
                <c:formatCode>0.00%</c:formatCode>
                <c:ptCount val="2"/>
                <c:pt idx="0">
                  <c:v>0.50480769230769229</c:v>
                </c:pt>
                <c:pt idx="1">
                  <c:v>0.49519230769230771</c:v>
                </c:pt>
              </c:numCache>
            </c:numRef>
          </c:val>
          <c:extLst>
            <c:ext xmlns:c16="http://schemas.microsoft.com/office/drawing/2014/chart" uri="{C3380CC4-5D6E-409C-BE32-E72D297353CC}">
              <c16:uniqueId val="{00000001-D77D-433E-ACB5-24463AEEADA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Internet Access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1C-48C1-B9DE-F3D0DA7B52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1C-48C1-B9DE-F3D0DA7B52E8}"/>
              </c:ext>
            </c:extLst>
          </c:dPt>
          <c:cat>
            <c:strRef>
              <c:f>general_analytics!$A$125:$A$126</c:f>
              <c:strCache>
                <c:ptCount val="2"/>
                <c:pt idx="0">
                  <c:v>Internet</c:v>
                </c:pt>
                <c:pt idx="1">
                  <c:v>No Internet</c:v>
                </c:pt>
              </c:strCache>
            </c:strRef>
          </c:cat>
          <c:val>
            <c:numRef>
              <c:f>general_analytics!$E$125:$E$126</c:f>
              <c:numCache>
                <c:formatCode>0.00%</c:formatCode>
                <c:ptCount val="2"/>
                <c:pt idx="0">
                  <c:v>0.85026737967914434</c:v>
                </c:pt>
                <c:pt idx="1">
                  <c:v>0.1497326203208556</c:v>
                </c:pt>
              </c:numCache>
            </c:numRef>
          </c:val>
          <c:extLst>
            <c:ext xmlns:c16="http://schemas.microsoft.com/office/drawing/2014/chart" uri="{C3380CC4-5D6E-409C-BE32-E72D297353CC}">
              <c16:uniqueId val="{00000001-8CA4-43A5-AE79-E969CDE973C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Internet Access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A2-4597-B9F7-32DDDA6693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A2-4597-B9F7-32DDDA669338}"/>
              </c:ext>
            </c:extLst>
          </c:dPt>
          <c:cat>
            <c:strRef>
              <c:f>general_analytics!$A$125:$A$126</c:f>
              <c:strCache>
                <c:ptCount val="2"/>
                <c:pt idx="0">
                  <c:v>Internet</c:v>
                </c:pt>
                <c:pt idx="1">
                  <c:v>No Internet</c:v>
                </c:pt>
              </c:strCache>
            </c:strRef>
          </c:cat>
          <c:val>
            <c:numRef>
              <c:f>general_analytics!$F$125:$F$126</c:f>
              <c:numCache>
                <c:formatCode>0.00%</c:formatCode>
                <c:ptCount val="2"/>
                <c:pt idx="0">
                  <c:v>0.81730769230769229</c:v>
                </c:pt>
                <c:pt idx="1">
                  <c:v>0.18269230769230768</c:v>
                </c:pt>
              </c:numCache>
            </c:numRef>
          </c:val>
          <c:extLst>
            <c:ext xmlns:c16="http://schemas.microsoft.com/office/drawing/2014/chart" uri="{C3380CC4-5D6E-409C-BE32-E72D297353CC}">
              <c16:uniqueId val="{00000001-0D5D-4CA9-AF88-C2966F149F6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Hours Spent Studying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29-4BAC-BCBC-018D401C1E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29-4BAC-BCBC-018D401C1E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29-4BAC-BCBC-018D401C1E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29-4BAC-BCBC-018D401C1EEC}"/>
              </c:ext>
            </c:extLst>
          </c:dPt>
          <c:cat>
            <c:strRef>
              <c:f>general_analytics!$A$6:$A$9</c:f>
              <c:strCache>
                <c:ptCount val="4"/>
                <c:pt idx="0">
                  <c:v>&lt; 2 Hours</c:v>
                </c:pt>
                <c:pt idx="1">
                  <c:v>2 to 5 Hours</c:v>
                </c:pt>
                <c:pt idx="2">
                  <c:v>5 to 10 Hours</c:v>
                </c:pt>
                <c:pt idx="3">
                  <c:v>&gt; 10 Hours</c:v>
                </c:pt>
              </c:strCache>
            </c:strRef>
          </c:cat>
          <c:val>
            <c:numRef>
              <c:f>general_analytics!$F$6:$F$9</c:f>
              <c:numCache>
                <c:formatCode>0.00%</c:formatCode>
                <c:ptCount val="4"/>
                <c:pt idx="0">
                  <c:v>0.12980769230769232</c:v>
                </c:pt>
                <c:pt idx="1">
                  <c:v>0.54326923076923073</c:v>
                </c:pt>
                <c:pt idx="2">
                  <c:v>0.24519230769230768</c:v>
                </c:pt>
                <c:pt idx="3">
                  <c:v>8.1730769230769232E-2</c:v>
                </c:pt>
              </c:numCache>
            </c:numRef>
          </c:val>
          <c:extLst>
            <c:ext xmlns:c16="http://schemas.microsoft.com/office/drawing/2014/chart" uri="{C3380CC4-5D6E-409C-BE32-E72D297353CC}">
              <c16:uniqueId val="{00000001-70BD-44EC-8245-A297FBF769E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Status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2A-48B8-B268-6D2D82BBC6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2A-48B8-B268-6D2D82BBC610}"/>
              </c:ext>
            </c:extLst>
          </c:dPt>
          <c:cat>
            <c:strRef>
              <c:f>general_analytics!$A$128:$A$129</c:f>
              <c:strCache>
                <c:ptCount val="2"/>
                <c:pt idx="0">
                  <c:v>Dating</c:v>
                </c:pt>
                <c:pt idx="1">
                  <c:v>Not Dating</c:v>
                </c:pt>
              </c:strCache>
            </c:strRef>
          </c:cat>
          <c:val>
            <c:numRef>
              <c:f>general_analytics!$E$128:$E$129</c:f>
              <c:numCache>
                <c:formatCode>0.00%</c:formatCode>
                <c:ptCount val="2"/>
                <c:pt idx="0">
                  <c:v>0.28342245989304815</c:v>
                </c:pt>
                <c:pt idx="1">
                  <c:v>0.71657754010695185</c:v>
                </c:pt>
              </c:numCache>
            </c:numRef>
          </c:val>
          <c:extLst>
            <c:ext xmlns:c16="http://schemas.microsoft.com/office/drawing/2014/chart" uri="{C3380CC4-5D6E-409C-BE32-E72D297353CC}">
              <c16:uniqueId val="{00000001-3D35-4EBE-8989-B8EF35B655B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Status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16-4962-A483-C9EB7732B5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16-4962-A483-C9EB7732B545}"/>
              </c:ext>
            </c:extLst>
          </c:dPt>
          <c:cat>
            <c:strRef>
              <c:f>general_analytics!$A$128:$A$129</c:f>
              <c:strCache>
                <c:ptCount val="2"/>
                <c:pt idx="0">
                  <c:v>Dating</c:v>
                </c:pt>
                <c:pt idx="1">
                  <c:v>Not Dating</c:v>
                </c:pt>
              </c:strCache>
            </c:strRef>
          </c:cat>
          <c:val>
            <c:numRef>
              <c:f>general_analytics!$F$128:$F$129</c:f>
              <c:numCache>
                <c:formatCode>0.00%</c:formatCode>
                <c:ptCount val="2"/>
                <c:pt idx="0">
                  <c:v>0.37980769230769229</c:v>
                </c:pt>
                <c:pt idx="1">
                  <c:v>0.62019230769230771</c:v>
                </c:pt>
              </c:numCache>
            </c:numRef>
          </c:val>
          <c:extLst>
            <c:ext xmlns:c16="http://schemas.microsoft.com/office/drawing/2014/chart" uri="{C3380CC4-5D6E-409C-BE32-E72D297353CC}">
              <c16:uniqueId val="{00000001-5130-4ABF-B250-67EBF0D05CD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Hours Spent Studying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tx>
            <c:strRef>
              <c:f>zero_score_analytics!$E$5</c:f>
              <c:strCache>
                <c:ptCount val="1"/>
                <c:pt idx="0">
                  <c:v>Male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E2-445D-B048-64C147D98F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E2-445D-B048-64C147D98F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E2-445D-B048-64C147D98F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E2-445D-B048-64C147D98F6E}"/>
              </c:ext>
            </c:extLst>
          </c:dPt>
          <c:cat>
            <c:strRef>
              <c:f>zero_score_analytics!$A$6:$A$9</c:f>
              <c:strCache>
                <c:ptCount val="4"/>
                <c:pt idx="0">
                  <c:v>&lt; 2 Hours</c:v>
                </c:pt>
                <c:pt idx="1">
                  <c:v>2 - 5 Hours</c:v>
                </c:pt>
                <c:pt idx="2">
                  <c:v>5 - 10 Hours</c:v>
                </c:pt>
                <c:pt idx="3">
                  <c:v>&gt; 10 Hours</c:v>
                </c:pt>
              </c:strCache>
            </c:strRef>
          </c:cat>
          <c:val>
            <c:numRef>
              <c:f>zero_score_analytics!$E$6:$E$9</c:f>
              <c:numCache>
                <c:formatCode>0.00%</c:formatCode>
                <c:ptCount val="4"/>
                <c:pt idx="0">
                  <c:v>0.66666666666666663</c:v>
                </c:pt>
                <c:pt idx="1">
                  <c:v>0.26666666666666666</c:v>
                </c:pt>
                <c:pt idx="2">
                  <c:v>0</c:v>
                </c:pt>
                <c:pt idx="3">
                  <c:v>6.6666666666666666E-2</c:v>
                </c:pt>
              </c:numCache>
            </c:numRef>
          </c:val>
          <c:extLst>
            <c:ext xmlns:c16="http://schemas.microsoft.com/office/drawing/2014/chart" uri="{C3380CC4-5D6E-409C-BE32-E72D297353CC}">
              <c16:uniqueId val="{00000001-C67F-4047-88D1-4BABAD081C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Hours Spent Studying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tx>
            <c:strRef>
              <c:f>zero_score_analytics!$F$5</c:f>
              <c:strCache>
                <c:ptCount val="1"/>
                <c:pt idx="0">
                  <c:v>Female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A9-4635-BCF8-A71D82D837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A9-4635-BCF8-A71D82D837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A9-4635-BCF8-A71D82D837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A9-4635-BCF8-A71D82D837B8}"/>
              </c:ext>
            </c:extLst>
          </c:dPt>
          <c:cat>
            <c:strRef>
              <c:f>zero_score_analytics!$A$6:$A$9</c:f>
              <c:strCache>
                <c:ptCount val="4"/>
                <c:pt idx="0">
                  <c:v>&lt; 2 Hours</c:v>
                </c:pt>
                <c:pt idx="1">
                  <c:v>2 - 5 Hours</c:v>
                </c:pt>
                <c:pt idx="2">
                  <c:v>5 - 10 Hours</c:v>
                </c:pt>
                <c:pt idx="3">
                  <c:v>&gt; 10 Hours</c:v>
                </c:pt>
              </c:strCache>
            </c:strRef>
          </c:cat>
          <c:val>
            <c:numRef>
              <c:f>zero_score_analytics!$F$6:$F$9</c:f>
              <c:numCache>
                <c:formatCode>0.00%</c:formatCode>
                <c:ptCount val="4"/>
                <c:pt idx="0">
                  <c:v>0.13043478260869565</c:v>
                </c:pt>
                <c:pt idx="1">
                  <c:v>0.52173913043478259</c:v>
                </c:pt>
                <c:pt idx="2">
                  <c:v>0.2608695652173913</c:v>
                </c:pt>
                <c:pt idx="3">
                  <c:v>8.6956521739130432E-2</c:v>
                </c:pt>
              </c:numCache>
            </c:numRef>
          </c:val>
          <c:extLst>
            <c:ext xmlns:c16="http://schemas.microsoft.com/office/drawing/2014/chart" uri="{C3380CC4-5D6E-409C-BE32-E72D297353CC}">
              <c16:uniqueId val="{00000001-AFA9-4522-8A6B-01BC4D71040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Career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CB-4F6C-8EE4-6418595D59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CB-4F6C-8EE4-6418595D59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CB-4F6C-8EE4-6418595D59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CB-4F6C-8EE4-6418595D59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4CB-4F6C-8EE4-6418595D596C}"/>
              </c:ext>
            </c:extLst>
          </c:dPt>
          <c:cat>
            <c:strRef>
              <c:f>zero_score_analytics!$A$21:$A$25</c:f>
              <c:strCache>
                <c:ptCount val="5"/>
                <c:pt idx="0">
                  <c:v>Civil Services</c:v>
                </c:pt>
                <c:pt idx="1">
                  <c:v>Teacher</c:v>
                </c:pt>
                <c:pt idx="2">
                  <c:v>Health Care</c:v>
                </c:pt>
                <c:pt idx="3">
                  <c:v>Stay at Home</c:v>
                </c:pt>
                <c:pt idx="4">
                  <c:v>Other</c:v>
                </c:pt>
              </c:strCache>
            </c:strRef>
          </c:cat>
          <c:val>
            <c:numRef>
              <c:f>zero_score_analytics!$E$21:$E$25</c:f>
              <c:numCache>
                <c:formatCode>0.00%</c:formatCode>
                <c:ptCount val="5"/>
                <c:pt idx="0">
                  <c:v>0.26666666666666666</c:v>
                </c:pt>
                <c:pt idx="1">
                  <c:v>0.13333333333333333</c:v>
                </c:pt>
                <c:pt idx="2">
                  <c:v>0</c:v>
                </c:pt>
                <c:pt idx="3">
                  <c:v>6.6666666666666666E-2</c:v>
                </c:pt>
                <c:pt idx="4">
                  <c:v>0.6</c:v>
                </c:pt>
              </c:numCache>
            </c:numRef>
          </c:val>
          <c:extLst>
            <c:ext xmlns:c16="http://schemas.microsoft.com/office/drawing/2014/chart" uri="{C3380CC4-5D6E-409C-BE32-E72D297353CC}">
              <c16:uniqueId val="{00000001-6B3E-4A5D-BEB1-EDBBEBDD0B3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Career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48-43AC-A8B3-B1711D6A42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48-43AC-A8B3-B1711D6A42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48-43AC-A8B3-B1711D6A42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48-43AC-A8B3-B1711D6A42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48-43AC-A8B3-B1711D6A4298}"/>
              </c:ext>
            </c:extLst>
          </c:dPt>
          <c:cat>
            <c:strRef>
              <c:f>zero_score_analytics!$A$21:$A$25</c:f>
              <c:strCache>
                <c:ptCount val="5"/>
                <c:pt idx="0">
                  <c:v>Civil Services</c:v>
                </c:pt>
                <c:pt idx="1">
                  <c:v>Teacher</c:v>
                </c:pt>
                <c:pt idx="2">
                  <c:v>Health Care</c:v>
                </c:pt>
                <c:pt idx="3">
                  <c:v>Stay at Home</c:v>
                </c:pt>
                <c:pt idx="4">
                  <c:v>Other</c:v>
                </c:pt>
              </c:strCache>
            </c:strRef>
          </c:cat>
          <c:val>
            <c:numRef>
              <c:f>zero_score_analytics!$F$21:$F$25</c:f>
              <c:numCache>
                <c:formatCode>0.00%</c:formatCode>
                <c:ptCount val="5"/>
                <c:pt idx="0">
                  <c:v>0.30434782608695654</c:v>
                </c:pt>
                <c:pt idx="1">
                  <c:v>4.3478260869565216E-2</c:v>
                </c:pt>
                <c:pt idx="2">
                  <c:v>0</c:v>
                </c:pt>
                <c:pt idx="3">
                  <c:v>8.6956521739130432E-2</c:v>
                </c:pt>
                <c:pt idx="4">
                  <c:v>0.56521739130434778</c:v>
                </c:pt>
              </c:numCache>
            </c:numRef>
          </c:val>
          <c:extLst>
            <c:ext xmlns:c16="http://schemas.microsoft.com/office/drawing/2014/chart" uri="{C3380CC4-5D6E-409C-BE32-E72D297353CC}">
              <c16:uniqueId val="{00000001-A409-45A8-9EC4-BE660D717CF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Career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38-478D-A291-0FDE6E2A8F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38-478D-A291-0FDE6E2A8F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38-478D-A291-0FDE6E2A8F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38-478D-A291-0FDE6E2A8F3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38-478D-A291-0FDE6E2A8F36}"/>
              </c:ext>
            </c:extLst>
          </c:dPt>
          <c:cat>
            <c:strRef>
              <c:f>zero_score_analytics!$A$36:$A$40</c:f>
              <c:strCache>
                <c:ptCount val="5"/>
                <c:pt idx="0">
                  <c:v>Civil Services</c:v>
                </c:pt>
                <c:pt idx="1">
                  <c:v>Teacher</c:v>
                </c:pt>
                <c:pt idx="2">
                  <c:v>Health Care</c:v>
                </c:pt>
                <c:pt idx="3">
                  <c:v>Stay at Home</c:v>
                </c:pt>
                <c:pt idx="4">
                  <c:v>Other</c:v>
                </c:pt>
              </c:strCache>
            </c:strRef>
          </c:cat>
          <c:val>
            <c:numRef>
              <c:f>zero_score_analytics!$E$36:$E$40</c:f>
              <c:numCache>
                <c:formatCode>0.00%</c:formatCode>
                <c:ptCount val="5"/>
                <c:pt idx="0">
                  <c:v>0.13333333333333333</c:v>
                </c:pt>
                <c:pt idx="1">
                  <c:v>0.26666666666666666</c:v>
                </c:pt>
                <c:pt idx="2">
                  <c:v>0</c:v>
                </c:pt>
                <c:pt idx="3">
                  <c:v>0.2</c:v>
                </c:pt>
                <c:pt idx="4">
                  <c:v>0.4</c:v>
                </c:pt>
              </c:numCache>
            </c:numRef>
          </c:val>
          <c:extLst>
            <c:ext xmlns:c16="http://schemas.microsoft.com/office/drawing/2014/chart" uri="{C3380CC4-5D6E-409C-BE32-E72D297353CC}">
              <c16:uniqueId val="{00000001-2933-4F7B-ACF9-15AE05A0FF7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Career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90-4E01-98D6-D3D9536674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90-4E01-98D6-D3D9536674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90-4E01-98D6-D3D9536674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90-4E01-98D6-D3D9536674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90-4E01-98D6-D3D9536674D3}"/>
              </c:ext>
            </c:extLst>
          </c:dPt>
          <c:cat>
            <c:strRef>
              <c:f>zero_score_analytics!$A$36:$A$40</c:f>
              <c:strCache>
                <c:ptCount val="5"/>
                <c:pt idx="0">
                  <c:v>Civil Services</c:v>
                </c:pt>
                <c:pt idx="1">
                  <c:v>Teacher</c:v>
                </c:pt>
                <c:pt idx="2">
                  <c:v>Health Care</c:v>
                </c:pt>
                <c:pt idx="3">
                  <c:v>Stay at Home</c:v>
                </c:pt>
                <c:pt idx="4">
                  <c:v>Other</c:v>
                </c:pt>
              </c:strCache>
            </c:strRef>
          </c:cat>
          <c:val>
            <c:numRef>
              <c:f>zero_score_analytics!$F$36:$F$40</c:f>
              <c:numCache>
                <c:formatCode>0.00%</c:formatCode>
                <c:ptCount val="5"/>
                <c:pt idx="0">
                  <c:v>0.30434782608695654</c:v>
                </c:pt>
                <c:pt idx="1">
                  <c:v>0</c:v>
                </c:pt>
                <c:pt idx="2">
                  <c:v>8.6956521739130432E-2</c:v>
                </c:pt>
                <c:pt idx="3">
                  <c:v>0.2608695652173913</c:v>
                </c:pt>
                <c:pt idx="4">
                  <c:v>0.34782608695652173</c:v>
                </c:pt>
              </c:numCache>
            </c:numRef>
          </c:val>
          <c:extLst>
            <c:ext xmlns:c16="http://schemas.microsoft.com/office/drawing/2014/chart" uri="{C3380CC4-5D6E-409C-BE32-E72D297353CC}">
              <c16:uniqueId val="{00000001-62CD-432D-A6BA-87267161924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Father's Education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4B-44AD-ADE9-537D333D11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4B-44AD-ADE9-537D333D11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4B-44AD-ADE9-537D333D11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4B-44AD-ADE9-537D333D11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4B-44AD-ADE9-537D333D1145}"/>
              </c:ext>
            </c:extLst>
          </c:dPt>
          <c:cat>
            <c:strRef>
              <c:f>zero_score_analytics!$A$51:$A$55</c:f>
              <c:strCache>
                <c:ptCount val="5"/>
                <c:pt idx="0">
                  <c:v>Primary (4th)</c:v>
                </c:pt>
                <c:pt idx="1">
                  <c:v>5th to 9th</c:v>
                </c:pt>
                <c:pt idx="2">
                  <c:v>Secondary</c:v>
                </c:pt>
                <c:pt idx="3">
                  <c:v>Higher Ed</c:v>
                </c:pt>
                <c:pt idx="4">
                  <c:v>None</c:v>
                </c:pt>
              </c:strCache>
            </c:strRef>
          </c:cat>
          <c:val>
            <c:numRef>
              <c:f>zero_score_analytics!$E$51:$E$55</c:f>
              <c:numCache>
                <c:formatCode>0.00%</c:formatCode>
                <c:ptCount val="5"/>
                <c:pt idx="0">
                  <c:v>0.26666666666666666</c:v>
                </c:pt>
                <c:pt idx="1">
                  <c:v>0.26666666666666666</c:v>
                </c:pt>
                <c:pt idx="2">
                  <c:v>0.13333333333333333</c:v>
                </c:pt>
                <c:pt idx="3">
                  <c:v>0.33333333333333331</c:v>
                </c:pt>
                <c:pt idx="4">
                  <c:v>0</c:v>
                </c:pt>
              </c:numCache>
            </c:numRef>
          </c:val>
          <c:extLst>
            <c:ext xmlns:c16="http://schemas.microsoft.com/office/drawing/2014/chart" uri="{C3380CC4-5D6E-409C-BE32-E72D297353CC}">
              <c16:uniqueId val="{00000001-0B05-4205-B7DE-CC0C5FE24DF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Father's Education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25-4AE6-81BF-C1ED33CBBB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25-4AE6-81BF-C1ED33CBBB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25-4AE6-81BF-C1ED33CBBB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25-4AE6-81BF-C1ED33CBBB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25-4AE6-81BF-C1ED33CBBB71}"/>
              </c:ext>
            </c:extLst>
          </c:dPt>
          <c:cat>
            <c:strRef>
              <c:f>zero_score_analytics!$A$51:$A$55</c:f>
              <c:strCache>
                <c:ptCount val="5"/>
                <c:pt idx="0">
                  <c:v>Primary (4th)</c:v>
                </c:pt>
                <c:pt idx="1">
                  <c:v>5th to 9th</c:v>
                </c:pt>
                <c:pt idx="2">
                  <c:v>Secondary</c:v>
                </c:pt>
                <c:pt idx="3">
                  <c:v>Higher Ed</c:v>
                </c:pt>
                <c:pt idx="4">
                  <c:v>None</c:v>
                </c:pt>
              </c:strCache>
            </c:strRef>
          </c:cat>
          <c:val>
            <c:numRef>
              <c:f>zero_score_analytics!$F$51:$F$55</c:f>
              <c:numCache>
                <c:formatCode>0.00%</c:formatCode>
                <c:ptCount val="5"/>
                <c:pt idx="0">
                  <c:v>0.30434782608695654</c:v>
                </c:pt>
                <c:pt idx="1">
                  <c:v>0.39130434782608697</c:v>
                </c:pt>
                <c:pt idx="2">
                  <c:v>0.17391304347826086</c:v>
                </c:pt>
                <c:pt idx="3">
                  <c:v>0.13043478260869565</c:v>
                </c:pt>
                <c:pt idx="4">
                  <c:v>0</c:v>
                </c:pt>
              </c:numCache>
            </c:numRef>
          </c:val>
          <c:extLst>
            <c:ext xmlns:c16="http://schemas.microsoft.com/office/drawing/2014/chart" uri="{C3380CC4-5D6E-409C-BE32-E72D297353CC}">
              <c16:uniqueId val="{00000001-9F8D-4298-AADB-D8BA96B6561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Career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0C-4D76-A73D-157BD5F2E6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0C-4D76-A73D-157BD5F2E6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0C-4D76-A73D-157BD5F2E6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0C-4D76-A73D-157BD5F2E6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40C-4D76-A73D-157BD5F2E6FB}"/>
              </c:ext>
            </c:extLst>
          </c:dPt>
          <c:cat>
            <c:strRef>
              <c:f>general_analytics!$A$21:$A$25</c:f>
              <c:strCache>
                <c:ptCount val="5"/>
                <c:pt idx="0">
                  <c:v>Services</c:v>
                </c:pt>
                <c:pt idx="1">
                  <c:v>Teacher</c:v>
                </c:pt>
                <c:pt idx="2">
                  <c:v>Health</c:v>
                </c:pt>
                <c:pt idx="3">
                  <c:v>Home Spouse</c:v>
                </c:pt>
                <c:pt idx="4">
                  <c:v>Other</c:v>
                </c:pt>
              </c:strCache>
            </c:strRef>
          </c:cat>
          <c:val>
            <c:numRef>
              <c:f>general_analytics!$E$21:$E$25</c:f>
              <c:numCache>
                <c:formatCode>0.00%</c:formatCode>
                <c:ptCount val="5"/>
                <c:pt idx="0">
                  <c:v>0.28339999999999999</c:v>
                </c:pt>
                <c:pt idx="1">
                  <c:v>8.5599999999999996E-2</c:v>
                </c:pt>
                <c:pt idx="2">
                  <c:v>3.2099999999999997E-2</c:v>
                </c:pt>
                <c:pt idx="3">
                  <c:v>3.2099999999999997E-2</c:v>
                </c:pt>
                <c:pt idx="4">
                  <c:v>0.56679999999999997</c:v>
                </c:pt>
              </c:numCache>
            </c:numRef>
          </c:val>
          <c:extLst>
            <c:ext xmlns:c16="http://schemas.microsoft.com/office/drawing/2014/chart" uri="{C3380CC4-5D6E-409C-BE32-E72D297353CC}">
              <c16:uniqueId val="{00000001-0EDE-4A58-A06B-3CD32F8F089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Mother's Education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A0-4045-9D64-A83971E10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A0-4045-9D64-A83971E105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A0-4045-9D64-A83971E105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A0-4045-9D64-A83971E105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A0-4045-9D64-A83971E10583}"/>
              </c:ext>
            </c:extLst>
          </c:dPt>
          <c:cat>
            <c:strRef>
              <c:f>zero_score_analytics!$A$66:$A$70</c:f>
              <c:strCache>
                <c:ptCount val="5"/>
                <c:pt idx="0">
                  <c:v>Primary (4th)</c:v>
                </c:pt>
                <c:pt idx="1">
                  <c:v>5th to 9th</c:v>
                </c:pt>
                <c:pt idx="2">
                  <c:v>Secondary</c:v>
                </c:pt>
                <c:pt idx="3">
                  <c:v>Higher Ed</c:v>
                </c:pt>
                <c:pt idx="4">
                  <c:v>None</c:v>
                </c:pt>
              </c:strCache>
            </c:strRef>
          </c:cat>
          <c:val>
            <c:numRef>
              <c:f>zero_score_analytics!$E$66:$E$70</c:f>
              <c:numCache>
                <c:formatCode>0.00%</c:formatCode>
                <c:ptCount val="5"/>
                <c:pt idx="0">
                  <c:v>0.2</c:v>
                </c:pt>
                <c:pt idx="1">
                  <c:v>0.26666666666666666</c:v>
                </c:pt>
                <c:pt idx="2">
                  <c:v>0.26666666666666666</c:v>
                </c:pt>
                <c:pt idx="3">
                  <c:v>0.26666666666666666</c:v>
                </c:pt>
                <c:pt idx="4">
                  <c:v>0</c:v>
                </c:pt>
              </c:numCache>
            </c:numRef>
          </c:val>
          <c:extLst>
            <c:ext xmlns:c16="http://schemas.microsoft.com/office/drawing/2014/chart" uri="{C3380CC4-5D6E-409C-BE32-E72D297353CC}">
              <c16:uniqueId val="{00000001-F003-4255-AADA-45C04346FF8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Mother's Education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B2-4A82-A214-5FB5E0DD11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B2-4A82-A214-5FB5E0DD11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B2-4A82-A214-5FB5E0DD11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B2-4A82-A214-5FB5E0DD11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B2-4A82-A214-5FB5E0DD11D5}"/>
              </c:ext>
            </c:extLst>
          </c:dPt>
          <c:cat>
            <c:strRef>
              <c:f>zero_score_analytics!$A$66:$A$70</c:f>
              <c:strCache>
                <c:ptCount val="5"/>
                <c:pt idx="0">
                  <c:v>Primary (4th)</c:v>
                </c:pt>
                <c:pt idx="1">
                  <c:v>5th to 9th</c:v>
                </c:pt>
                <c:pt idx="2">
                  <c:v>Secondary</c:v>
                </c:pt>
                <c:pt idx="3">
                  <c:v>Higher Ed</c:v>
                </c:pt>
                <c:pt idx="4">
                  <c:v>None</c:v>
                </c:pt>
              </c:strCache>
            </c:strRef>
          </c:cat>
          <c:val>
            <c:numRef>
              <c:f>zero_score_analytics!$F$66:$F$70</c:f>
              <c:numCache>
                <c:formatCode>0.00%</c:formatCode>
                <c:ptCount val="5"/>
                <c:pt idx="0">
                  <c:v>0.2608695652173913</c:v>
                </c:pt>
                <c:pt idx="1">
                  <c:v>0.43478260869565216</c:v>
                </c:pt>
                <c:pt idx="2">
                  <c:v>0.21739130434782608</c:v>
                </c:pt>
                <c:pt idx="3">
                  <c:v>8.6956521739130432E-2</c:v>
                </c:pt>
                <c:pt idx="4">
                  <c:v>0</c:v>
                </c:pt>
              </c:numCache>
            </c:numRef>
          </c:val>
          <c:extLst>
            <c:ext xmlns:c16="http://schemas.microsoft.com/office/drawing/2014/chart" uri="{C3380CC4-5D6E-409C-BE32-E72D297353CC}">
              <c16:uniqueId val="{00000001-243C-41F6-8D69-29C373571A6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Parent's Marital Status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AD-427E-A9F6-C6FBCE6B2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AD-427E-A9F6-C6FBCE6B2D41}"/>
              </c:ext>
            </c:extLst>
          </c:dPt>
          <c:cat>
            <c:strRef>
              <c:f>zero_score_analytics!$A$88:$A$89</c:f>
              <c:strCache>
                <c:ptCount val="2"/>
                <c:pt idx="0">
                  <c:v>Parents Together</c:v>
                </c:pt>
                <c:pt idx="1">
                  <c:v>Parents Separated</c:v>
                </c:pt>
              </c:strCache>
            </c:strRef>
          </c:cat>
          <c:val>
            <c:numRef>
              <c:f>zero_score_analytics!$E$88:$E$89</c:f>
              <c:numCache>
                <c:formatCode>0.00%</c:formatCode>
                <c:ptCount val="2"/>
                <c:pt idx="0">
                  <c:v>1</c:v>
                </c:pt>
                <c:pt idx="1">
                  <c:v>0</c:v>
                </c:pt>
              </c:numCache>
            </c:numRef>
          </c:val>
          <c:extLst>
            <c:ext xmlns:c16="http://schemas.microsoft.com/office/drawing/2014/chart" uri="{C3380CC4-5D6E-409C-BE32-E72D297353CC}">
              <c16:uniqueId val="{00000001-F8C4-4D84-A1D2-39D3E3C401E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Parent's Marital Status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8A-435F-8015-4D9E9D0336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8A-435F-8015-4D9E9D0336AF}"/>
              </c:ext>
            </c:extLst>
          </c:dPt>
          <c:cat>
            <c:strRef>
              <c:f>zero_score_analytics!$A$88:$A$89</c:f>
              <c:strCache>
                <c:ptCount val="2"/>
                <c:pt idx="0">
                  <c:v>Parents Together</c:v>
                </c:pt>
                <c:pt idx="1">
                  <c:v>Parents Separated</c:v>
                </c:pt>
              </c:strCache>
            </c:strRef>
          </c:cat>
          <c:val>
            <c:numRef>
              <c:f>zero_score_analytics!$F$88:$F$89</c:f>
              <c:numCache>
                <c:formatCode>0.00%</c:formatCode>
                <c:ptCount val="2"/>
                <c:pt idx="0">
                  <c:v>0.91304347826086951</c:v>
                </c:pt>
                <c:pt idx="1">
                  <c:v>8.6956521739130432E-2</c:v>
                </c:pt>
              </c:numCache>
            </c:numRef>
          </c:val>
          <c:extLst>
            <c:ext xmlns:c16="http://schemas.microsoft.com/office/drawing/2014/chart" uri="{C3380CC4-5D6E-409C-BE32-E72D297353CC}">
              <c16:uniqueId val="{00000001-92B0-4858-AB00-47383E8A226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After School Activities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30-4ACF-92F1-2F41AB995A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30-4ACF-92F1-2F41AB995AF0}"/>
              </c:ext>
            </c:extLst>
          </c:dPt>
          <c:cat>
            <c:strRef>
              <c:f>zero_score_analytics!$A$91:$A$92</c:f>
              <c:strCache>
                <c:ptCount val="2"/>
                <c:pt idx="0">
                  <c:v>Extracurricular</c:v>
                </c:pt>
                <c:pt idx="1">
                  <c:v>No Extracurricular</c:v>
                </c:pt>
              </c:strCache>
            </c:strRef>
          </c:cat>
          <c:val>
            <c:numRef>
              <c:f>zero_score_analytics!$E$91:$E$92</c:f>
              <c:numCache>
                <c:formatCode>0.00%</c:formatCode>
                <c:ptCount val="2"/>
                <c:pt idx="0">
                  <c:v>0.4</c:v>
                </c:pt>
                <c:pt idx="1">
                  <c:v>0.6</c:v>
                </c:pt>
              </c:numCache>
            </c:numRef>
          </c:val>
          <c:extLst>
            <c:ext xmlns:c16="http://schemas.microsoft.com/office/drawing/2014/chart" uri="{C3380CC4-5D6E-409C-BE32-E72D297353CC}">
              <c16:uniqueId val="{00000001-1A0B-415E-8C3C-891F5B5B78D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After School Activities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4F-4609-AECE-30F1CF85E3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4F-4609-AECE-30F1CF85E3B8}"/>
              </c:ext>
            </c:extLst>
          </c:dPt>
          <c:cat>
            <c:strRef>
              <c:f>zero_score_analytics!$A$91:$A$92</c:f>
              <c:strCache>
                <c:ptCount val="2"/>
                <c:pt idx="0">
                  <c:v>Extracurricular</c:v>
                </c:pt>
                <c:pt idx="1">
                  <c:v>No Extracurricular</c:v>
                </c:pt>
              </c:strCache>
            </c:strRef>
          </c:cat>
          <c:val>
            <c:numRef>
              <c:f>zero_score_analytics!$F$91:$F$92</c:f>
              <c:numCache>
                <c:formatCode>0.00%</c:formatCode>
                <c:ptCount val="2"/>
                <c:pt idx="0">
                  <c:v>0.65217391304347827</c:v>
                </c:pt>
                <c:pt idx="1">
                  <c:v>0.34782608695652173</c:v>
                </c:pt>
              </c:numCache>
            </c:numRef>
          </c:val>
          <c:extLst>
            <c:ext xmlns:c16="http://schemas.microsoft.com/office/drawing/2014/chart" uri="{C3380CC4-5D6E-409C-BE32-E72D297353CC}">
              <c16:uniqueId val="{00000001-B5CC-4C97-9A1E-B5CA8DB72F0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Internet Access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C-4106-96EA-46C44E222F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C-4106-96EA-46C44E222F19}"/>
              </c:ext>
            </c:extLst>
          </c:dPt>
          <c:cat>
            <c:strRef>
              <c:f>zero_score_analytics!$A$94:$A$95</c:f>
              <c:strCache>
                <c:ptCount val="2"/>
                <c:pt idx="0">
                  <c:v>Internet</c:v>
                </c:pt>
                <c:pt idx="1">
                  <c:v>No Internet</c:v>
                </c:pt>
              </c:strCache>
            </c:strRef>
          </c:cat>
          <c:val>
            <c:numRef>
              <c:f>zero_score_analytics!$E$94:$E$95</c:f>
              <c:numCache>
                <c:formatCode>0.00%</c:formatCode>
                <c:ptCount val="2"/>
                <c:pt idx="0">
                  <c:v>0.73333333333333328</c:v>
                </c:pt>
                <c:pt idx="1">
                  <c:v>0.26666666666666666</c:v>
                </c:pt>
              </c:numCache>
            </c:numRef>
          </c:val>
          <c:extLst>
            <c:ext xmlns:c16="http://schemas.microsoft.com/office/drawing/2014/chart" uri="{C3380CC4-5D6E-409C-BE32-E72D297353CC}">
              <c16:uniqueId val="{00000001-210E-43C8-9057-DD528A28B2D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Internet Access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33-4134-B490-F2B4B3DF26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33-4134-B490-F2B4B3DF2601}"/>
              </c:ext>
            </c:extLst>
          </c:dPt>
          <c:cat>
            <c:strRef>
              <c:f>zero_score_analytics!$A$94:$A$95</c:f>
              <c:strCache>
                <c:ptCount val="2"/>
                <c:pt idx="0">
                  <c:v>Internet</c:v>
                </c:pt>
                <c:pt idx="1">
                  <c:v>No Internet</c:v>
                </c:pt>
              </c:strCache>
            </c:strRef>
          </c:cat>
          <c:val>
            <c:numRef>
              <c:f>zero_score_analytics!$F$94:$F$95</c:f>
              <c:numCache>
                <c:formatCode>0.00%</c:formatCode>
                <c:ptCount val="2"/>
                <c:pt idx="0">
                  <c:v>0.82608695652173914</c:v>
                </c:pt>
                <c:pt idx="1">
                  <c:v>0.17391304347826086</c:v>
                </c:pt>
              </c:numCache>
            </c:numRef>
          </c:val>
          <c:extLst>
            <c:ext xmlns:c16="http://schemas.microsoft.com/office/drawing/2014/chart" uri="{C3380CC4-5D6E-409C-BE32-E72D297353CC}">
              <c16:uniqueId val="{00000001-0171-4CFF-B0E5-4701F261826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AA-4610-866D-2B382292B9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AA-4610-866D-2B382292B943}"/>
              </c:ext>
            </c:extLst>
          </c:dPt>
          <c:cat>
            <c:strRef>
              <c:f>zero_score_analytics!$A$97:$A$98</c:f>
              <c:strCache>
                <c:ptCount val="2"/>
                <c:pt idx="0">
                  <c:v>Dating</c:v>
                </c:pt>
                <c:pt idx="1">
                  <c:v>No Dating</c:v>
                </c:pt>
              </c:strCache>
            </c:strRef>
          </c:cat>
          <c:val>
            <c:numRef>
              <c:f>zero_score_analytics!$E$97:$E$98</c:f>
              <c:numCache>
                <c:formatCode>0.00%</c:formatCode>
                <c:ptCount val="2"/>
                <c:pt idx="0">
                  <c:v>0.33333333333333331</c:v>
                </c:pt>
                <c:pt idx="1">
                  <c:v>0.66666666666666663</c:v>
                </c:pt>
              </c:numCache>
            </c:numRef>
          </c:val>
          <c:extLst>
            <c:ext xmlns:c16="http://schemas.microsoft.com/office/drawing/2014/chart" uri="{C3380CC4-5D6E-409C-BE32-E72D297353CC}">
              <c16:uniqueId val="{00000001-D710-419D-9CBC-BC8D0600A87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50-40C2-86A1-4DFA57FD3B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50-40C2-86A1-4DFA57FD3B27}"/>
              </c:ext>
            </c:extLst>
          </c:dPt>
          <c:cat>
            <c:strRef>
              <c:f>zero_score_analytics!$A$97:$A$98</c:f>
              <c:strCache>
                <c:ptCount val="2"/>
                <c:pt idx="0">
                  <c:v>Dating</c:v>
                </c:pt>
                <c:pt idx="1">
                  <c:v>No Dating</c:v>
                </c:pt>
              </c:strCache>
            </c:strRef>
          </c:cat>
          <c:val>
            <c:numRef>
              <c:f>zero_score_analytics!$F$97:$F$98</c:f>
              <c:numCache>
                <c:formatCode>0.00%</c:formatCode>
                <c:ptCount val="2"/>
                <c:pt idx="0">
                  <c:v>0.65217391304347827</c:v>
                </c:pt>
                <c:pt idx="1">
                  <c:v>0.34782608695652173</c:v>
                </c:pt>
              </c:numCache>
            </c:numRef>
          </c:val>
          <c:extLst>
            <c:ext xmlns:c16="http://schemas.microsoft.com/office/drawing/2014/chart" uri="{C3380CC4-5D6E-409C-BE32-E72D297353CC}">
              <c16:uniqueId val="{00000001-191B-4D3F-988C-C1A533BCAEF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Career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5A-40F3-BFC6-DFDD915ADA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5A-40F3-BFC6-DFDD915ADA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5A-40F3-BFC6-DFDD915ADA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5A-40F3-BFC6-DFDD915ADA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5A-40F3-BFC6-DFDD915ADA61}"/>
              </c:ext>
            </c:extLst>
          </c:dPt>
          <c:cat>
            <c:strRef>
              <c:f>general_analytics!$A$21:$A$25</c:f>
              <c:strCache>
                <c:ptCount val="5"/>
                <c:pt idx="0">
                  <c:v>Services</c:v>
                </c:pt>
                <c:pt idx="1">
                  <c:v>Teacher</c:v>
                </c:pt>
                <c:pt idx="2">
                  <c:v>Health</c:v>
                </c:pt>
                <c:pt idx="3">
                  <c:v>Home Spouse</c:v>
                </c:pt>
                <c:pt idx="4">
                  <c:v>Other</c:v>
                </c:pt>
              </c:strCache>
            </c:strRef>
          </c:cat>
          <c:val>
            <c:numRef>
              <c:f>general_analytics!$F$21:$F$25</c:f>
              <c:numCache>
                <c:formatCode>0.00%</c:formatCode>
                <c:ptCount val="5"/>
                <c:pt idx="0">
                  <c:v>0.27879999999999999</c:v>
                </c:pt>
                <c:pt idx="1">
                  <c:v>6.25E-2</c:v>
                </c:pt>
                <c:pt idx="2">
                  <c:v>5.7700000000000001E-2</c:v>
                </c:pt>
                <c:pt idx="3">
                  <c:v>6.7299999999999999E-2</c:v>
                </c:pt>
                <c:pt idx="4">
                  <c:v>0.53369999999999995</c:v>
                </c:pt>
              </c:numCache>
            </c:numRef>
          </c:val>
          <c:extLst>
            <c:ext xmlns:c16="http://schemas.microsoft.com/office/drawing/2014/chart" uri="{C3380CC4-5D6E-409C-BE32-E72D297353CC}">
              <c16:uniqueId val="{00000001-AF9C-40CA-B750-2888A5D819B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 Spent Studying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8C-48D7-9C1A-9054B15A2B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8C-48D7-9C1A-9054B15A2B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8C-48D7-9C1A-9054B15A2B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8C-48D7-9C1A-9054B15A2B50}"/>
              </c:ext>
            </c:extLst>
          </c:dPt>
          <c:cat>
            <c:strRef>
              <c:f>median_score_analytics!$A$6:$A$9</c:f>
              <c:strCache>
                <c:ptCount val="4"/>
                <c:pt idx="0">
                  <c:v>&lt; 2 Hours</c:v>
                </c:pt>
                <c:pt idx="1">
                  <c:v>2 - 5 Hours</c:v>
                </c:pt>
                <c:pt idx="2">
                  <c:v>5 - 10 Hours</c:v>
                </c:pt>
                <c:pt idx="3">
                  <c:v>&gt; 10 Hours</c:v>
                </c:pt>
              </c:strCache>
            </c:strRef>
          </c:cat>
          <c:val>
            <c:numRef>
              <c:f>median_score_analytics!$E$6:$E$9</c:f>
              <c:numCache>
                <c:formatCode>0.00%</c:formatCode>
                <c:ptCount val="4"/>
                <c:pt idx="0">
                  <c:v>0.22222222222222221</c:v>
                </c:pt>
                <c:pt idx="1">
                  <c:v>0.66666666666666663</c:v>
                </c:pt>
                <c:pt idx="2">
                  <c:v>0.1111111111111111</c:v>
                </c:pt>
                <c:pt idx="3">
                  <c:v>0</c:v>
                </c:pt>
              </c:numCache>
            </c:numRef>
          </c:val>
          <c:extLst>
            <c:ext xmlns:c16="http://schemas.microsoft.com/office/drawing/2014/chart" uri="{C3380CC4-5D6E-409C-BE32-E72D297353CC}">
              <c16:uniqueId val="{00000001-E271-4939-BEE2-7514DA8158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 Spent Studying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AE-4801-8BFB-43063F68D5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AE-4801-8BFB-43063F68D5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AE-4801-8BFB-43063F68D5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AE-4801-8BFB-43063F68D5CE}"/>
              </c:ext>
            </c:extLst>
          </c:dPt>
          <c:cat>
            <c:strRef>
              <c:f>median_score_analytics!$A$6:$A$9</c:f>
              <c:strCache>
                <c:ptCount val="4"/>
                <c:pt idx="0">
                  <c:v>&lt; 2 Hours</c:v>
                </c:pt>
                <c:pt idx="1">
                  <c:v>2 - 5 Hours</c:v>
                </c:pt>
                <c:pt idx="2">
                  <c:v>5 - 10 Hours</c:v>
                </c:pt>
                <c:pt idx="3">
                  <c:v>&gt; 10 Hours</c:v>
                </c:pt>
              </c:strCache>
            </c:strRef>
          </c:cat>
          <c:val>
            <c:numRef>
              <c:f>median_score_analytics!$F$6:$F$9</c:f>
              <c:numCache>
                <c:formatCode>0.00%</c:formatCode>
                <c:ptCount val="4"/>
                <c:pt idx="0">
                  <c:v>0.10344827586206896</c:v>
                </c:pt>
                <c:pt idx="1">
                  <c:v>0.58620689655172409</c:v>
                </c:pt>
                <c:pt idx="2">
                  <c:v>0.20689655172413793</c:v>
                </c:pt>
                <c:pt idx="3">
                  <c:v>0.10344827586206896</c:v>
                </c:pt>
              </c:numCache>
            </c:numRef>
          </c:val>
          <c:extLst>
            <c:ext xmlns:c16="http://schemas.microsoft.com/office/drawing/2014/chart" uri="{C3380CC4-5D6E-409C-BE32-E72D297353CC}">
              <c16:uniqueId val="{00000001-D3E5-4139-A53B-101E422C92B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Career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56-4E67-B58E-3A53D80692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56-4E67-B58E-3A53D80692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56-4E67-B58E-3A53D80692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56-4E67-B58E-3A53D80692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56-4E67-B58E-3A53D806923A}"/>
              </c:ext>
            </c:extLst>
          </c:dPt>
          <c:cat>
            <c:strRef>
              <c:f>median_score_analytics!$A$21:$A$25</c:f>
              <c:strCache>
                <c:ptCount val="5"/>
                <c:pt idx="0">
                  <c:v>Civil Services</c:v>
                </c:pt>
                <c:pt idx="1">
                  <c:v>Teacher</c:v>
                </c:pt>
                <c:pt idx="2">
                  <c:v>Health Care</c:v>
                </c:pt>
                <c:pt idx="3">
                  <c:v>Stay at Home</c:v>
                </c:pt>
                <c:pt idx="4">
                  <c:v>Other</c:v>
                </c:pt>
              </c:strCache>
            </c:strRef>
          </c:cat>
          <c:val>
            <c:numRef>
              <c:f>median_score_analytics!$E$21:$E$25</c:f>
              <c:numCache>
                <c:formatCode>0.00%</c:formatCode>
                <c:ptCount val="5"/>
                <c:pt idx="0">
                  <c:v>0.22222222222222221</c:v>
                </c:pt>
                <c:pt idx="1">
                  <c:v>5.5555555555555552E-2</c:v>
                </c:pt>
                <c:pt idx="2">
                  <c:v>0</c:v>
                </c:pt>
                <c:pt idx="3">
                  <c:v>5.5555555555555552E-2</c:v>
                </c:pt>
                <c:pt idx="4">
                  <c:v>0.66666666666666663</c:v>
                </c:pt>
              </c:numCache>
            </c:numRef>
          </c:val>
          <c:extLst>
            <c:ext xmlns:c16="http://schemas.microsoft.com/office/drawing/2014/chart" uri="{C3380CC4-5D6E-409C-BE32-E72D297353CC}">
              <c16:uniqueId val="{00000001-F6CB-4DEB-941A-67CCDA1B6E6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Career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18-4E45-BCC0-D863EBF6D9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18-4E45-BCC0-D863EBF6D9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18-4E45-BCC0-D863EBF6D9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18-4E45-BCC0-D863EBF6D93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18-4E45-BCC0-D863EBF6D936}"/>
              </c:ext>
            </c:extLst>
          </c:dPt>
          <c:cat>
            <c:strRef>
              <c:f>median_score_analytics!$A$21:$A$25</c:f>
              <c:strCache>
                <c:ptCount val="5"/>
                <c:pt idx="0">
                  <c:v>Civil Services</c:v>
                </c:pt>
                <c:pt idx="1">
                  <c:v>Teacher</c:v>
                </c:pt>
                <c:pt idx="2">
                  <c:v>Health Care</c:v>
                </c:pt>
                <c:pt idx="3">
                  <c:v>Stay at Home</c:v>
                </c:pt>
                <c:pt idx="4">
                  <c:v>Other</c:v>
                </c:pt>
              </c:strCache>
            </c:strRef>
          </c:cat>
          <c:val>
            <c:numRef>
              <c:f>median_score_analytics!$F$21:$F$25</c:f>
              <c:numCache>
                <c:formatCode>0.00%</c:formatCode>
                <c:ptCount val="5"/>
                <c:pt idx="0">
                  <c:v>0.34482758620689657</c:v>
                </c:pt>
                <c:pt idx="1">
                  <c:v>6.8965517241379309E-2</c:v>
                </c:pt>
                <c:pt idx="2">
                  <c:v>6.8965517241379309E-2</c:v>
                </c:pt>
                <c:pt idx="3">
                  <c:v>3.4482758620689655E-2</c:v>
                </c:pt>
                <c:pt idx="4">
                  <c:v>0.48275862068965519</c:v>
                </c:pt>
              </c:numCache>
            </c:numRef>
          </c:val>
          <c:extLst>
            <c:ext xmlns:c16="http://schemas.microsoft.com/office/drawing/2014/chart" uri="{C3380CC4-5D6E-409C-BE32-E72D297353CC}">
              <c16:uniqueId val="{00000001-D3C0-4C95-B52B-ACB8DCEF604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Career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AED-9209-685AE1F773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AED-9209-685AE1F773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AED-9209-685AE1F773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AED-9209-685AE1F773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AED-9209-685AE1F773D1}"/>
              </c:ext>
            </c:extLst>
          </c:dPt>
          <c:cat>
            <c:strRef>
              <c:f>median_score_analytics!$A$36:$A$40</c:f>
              <c:strCache>
                <c:ptCount val="5"/>
                <c:pt idx="0">
                  <c:v>Civil Services</c:v>
                </c:pt>
                <c:pt idx="1">
                  <c:v>Teacher</c:v>
                </c:pt>
                <c:pt idx="2">
                  <c:v>Health Care</c:v>
                </c:pt>
                <c:pt idx="3">
                  <c:v>Stay at Home</c:v>
                </c:pt>
                <c:pt idx="4">
                  <c:v>Other</c:v>
                </c:pt>
              </c:strCache>
            </c:strRef>
          </c:cat>
          <c:val>
            <c:numRef>
              <c:f>median_score_analytics!$E$36:$E$40</c:f>
              <c:numCache>
                <c:formatCode>0.00%</c:formatCode>
                <c:ptCount val="5"/>
                <c:pt idx="0">
                  <c:v>0.33333333333333331</c:v>
                </c:pt>
                <c:pt idx="1">
                  <c:v>0.16666666666666666</c:v>
                </c:pt>
                <c:pt idx="2">
                  <c:v>5.5555555555555552E-2</c:v>
                </c:pt>
                <c:pt idx="3">
                  <c:v>0</c:v>
                </c:pt>
                <c:pt idx="4">
                  <c:v>0.44444444444444442</c:v>
                </c:pt>
              </c:numCache>
            </c:numRef>
          </c:val>
          <c:extLst>
            <c:ext xmlns:c16="http://schemas.microsoft.com/office/drawing/2014/chart" uri="{C3380CC4-5D6E-409C-BE32-E72D297353CC}">
              <c16:uniqueId val="{00000001-B363-4A12-A743-4F1F9360BA9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Career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29-479C-B687-3848E12429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29-479C-B687-3848E12429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29-479C-B687-3848E12429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29-479C-B687-3848E12429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29-479C-B687-3848E12429E3}"/>
              </c:ext>
            </c:extLst>
          </c:dPt>
          <c:cat>
            <c:strRef>
              <c:f>median_score_analytics!$A$36:$A$40</c:f>
              <c:strCache>
                <c:ptCount val="5"/>
                <c:pt idx="0">
                  <c:v>Civil Services</c:v>
                </c:pt>
                <c:pt idx="1">
                  <c:v>Teacher</c:v>
                </c:pt>
                <c:pt idx="2">
                  <c:v>Health Care</c:v>
                </c:pt>
                <c:pt idx="3">
                  <c:v>Stay at Home</c:v>
                </c:pt>
                <c:pt idx="4">
                  <c:v>Other</c:v>
                </c:pt>
              </c:strCache>
            </c:strRef>
          </c:cat>
          <c:val>
            <c:numRef>
              <c:f>median_score_analytics!$F$36:$F$40</c:f>
              <c:numCache>
                <c:formatCode>0.00%</c:formatCode>
                <c:ptCount val="5"/>
                <c:pt idx="0">
                  <c:v>0.34482758620689657</c:v>
                </c:pt>
                <c:pt idx="1">
                  <c:v>0.10344827586206896</c:v>
                </c:pt>
                <c:pt idx="2">
                  <c:v>6.8965517241379309E-2</c:v>
                </c:pt>
                <c:pt idx="3">
                  <c:v>6.8965517241379309E-2</c:v>
                </c:pt>
                <c:pt idx="4">
                  <c:v>0.41379310344827586</c:v>
                </c:pt>
              </c:numCache>
            </c:numRef>
          </c:val>
          <c:extLst>
            <c:ext xmlns:c16="http://schemas.microsoft.com/office/drawing/2014/chart" uri="{C3380CC4-5D6E-409C-BE32-E72D297353CC}">
              <c16:uniqueId val="{00000001-029A-475A-A2DE-7CA3A6F5D04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Father's Education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3A-4919-9FD1-15021851C6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3A-4919-9FD1-15021851C6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3A-4919-9FD1-15021851C6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3A-4919-9FD1-15021851C6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3A-4919-9FD1-15021851C6AE}"/>
              </c:ext>
            </c:extLst>
          </c:dPt>
          <c:cat>
            <c:strRef>
              <c:f>median_score_analytics!$A$51:$A$55</c:f>
              <c:strCache>
                <c:ptCount val="5"/>
                <c:pt idx="0">
                  <c:v>Primary (4th)</c:v>
                </c:pt>
                <c:pt idx="1">
                  <c:v>5th to 9th</c:v>
                </c:pt>
                <c:pt idx="2">
                  <c:v>Secondary</c:v>
                </c:pt>
                <c:pt idx="3">
                  <c:v>Higher Ed</c:v>
                </c:pt>
                <c:pt idx="4">
                  <c:v>None</c:v>
                </c:pt>
              </c:strCache>
            </c:strRef>
          </c:cat>
          <c:val>
            <c:numRef>
              <c:f>median_score_analytics!$E$51:$E$55</c:f>
              <c:numCache>
                <c:formatCode>0.00%</c:formatCode>
                <c:ptCount val="5"/>
                <c:pt idx="0">
                  <c:v>5.5555555555555552E-2</c:v>
                </c:pt>
                <c:pt idx="1">
                  <c:v>0.3888888888888889</c:v>
                </c:pt>
                <c:pt idx="2">
                  <c:v>0.3888888888888889</c:v>
                </c:pt>
                <c:pt idx="3">
                  <c:v>0.16666666666666666</c:v>
                </c:pt>
                <c:pt idx="4">
                  <c:v>0</c:v>
                </c:pt>
              </c:numCache>
            </c:numRef>
          </c:val>
          <c:extLst>
            <c:ext xmlns:c16="http://schemas.microsoft.com/office/drawing/2014/chart" uri="{C3380CC4-5D6E-409C-BE32-E72D297353CC}">
              <c16:uniqueId val="{00000001-8CEC-4F05-9312-275A3024660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Father's Education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20-42F5-8329-50651845AB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20-42F5-8329-50651845AB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20-42F5-8329-50651845AB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20-42F5-8329-50651845AB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20-42F5-8329-50651845AB75}"/>
              </c:ext>
            </c:extLst>
          </c:dPt>
          <c:cat>
            <c:strRef>
              <c:f>median_score_analytics!$A$51:$A$55</c:f>
              <c:strCache>
                <c:ptCount val="5"/>
                <c:pt idx="0">
                  <c:v>Primary (4th)</c:v>
                </c:pt>
                <c:pt idx="1">
                  <c:v>5th to 9th</c:v>
                </c:pt>
                <c:pt idx="2">
                  <c:v>Secondary</c:v>
                </c:pt>
                <c:pt idx="3">
                  <c:v>Higher Ed</c:v>
                </c:pt>
                <c:pt idx="4">
                  <c:v>None</c:v>
                </c:pt>
              </c:strCache>
            </c:strRef>
          </c:cat>
          <c:val>
            <c:numRef>
              <c:f>median_score_analytics!$F$51:$F$55</c:f>
              <c:numCache>
                <c:formatCode>0.00%</c:formatCode>
                <c:ptCount val="5"/>
                <c:pt idx="0">
                  <c:v>0.17241379310344829</c:v>
                </c:pt>
                <c:pt idx="1">
                  <c:v>0.34482758620689657</c:v>
                </c:pt>
                <c:pt idx="2">
                  <c:v>0.13793103448275862</c:v>
                </c:pt>
                <c:pt idx="3">
                  <c:v>0.34482758620689657</c:v>
                </c:pt>
                <c:pt idx="4">
                  <c:v>0</c:v>
                </c:pt>
              </c:numCache>
            </c:numRef>
          </c:val>
          <c:extLst>
            <c:ext xmlns:c16="http://schemas.microsoft.com/office/drawing/2014/chart" uri="{C3380CC4-5D6E-409C-BE32-E72D297353CC}">
              <c16:uniqueId val="{00000001-D484-4498-A364-AE78542563C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Mother's Education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E3-461A-9039-51F357DC50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E3-461A-9039-51F357DC50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E3-461A-9039-51F357DC50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E3-461A-9039-51F357DC50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E3-461A-9039-51F357DC50B9}"/>
              </c:ext>
            </c:extLst>
          </c:dPt>
          <c:cat>
            <c:strRef>
              <c:f>median_score_analytics!$A$66:$A$70</c:f>
              <c:strCache>
                <c:ptCount val="5"/>
                <c:pt idx="0">
                  <c:v>Primary (4th)</c:v>
                </c:pt>
                <c:pt idx="1">
                  <c:v>5th to 9th</c:v>
                </c:pt>
                <c:pt idx="2">
                  <c:v>Secondary</c:v>
                </c:pt>
                <c:pt idx="3">
                  <c:v>Higher Ed</c:v>
                </c:pt>
                <c:pt idx="4">
                  <c:v>None</c:v>
                </c:pt>
              </c:strCache>
            </c:strRef>
          </c:cat>
          <c:val>
            <c:numRef>
              <c:f>median_score_analytics!$E$66:$E$70</c:f>
              <c:numCache>
                <c:formatCode>0.00%</c:formatCode>
                <c:ptCount val="5"/>
                <c:pt idx="0">
                  <c:v>0.16666666666666666</c:v>
                </c:pt>
                <c:pt idx="1">
                  <c:v>0.27777777777777779</c:v>
                </c:pt>
                <c:pt idx="2">
                  <c:v>0.16666666666666666</c:v>
                </c:pt>
                <c:pt idx="3">
                  <c:v>0.3888888888888889</c:v>
                </c:pt>
                <c:pt idx="4">
                  <c:v>0</c:v>
                </c:pt>
              </c:numCache>
            </c:numRef>
          </c:val>
          <c:extLst>
            <c:ext xmlns:c16="http://schemas.microsoft.com/office/drawing/2014/chart" uri="{C3380CC4-5D6E-409C-BE32-E72D297353CC}">
              <c16:uniqueId val="{00000001-B53F-4C12-8A28-876729D3AC3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Mother's Education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E9-4C56-B8C4-FF0C19AFAA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E9-4C56-B8C4-FF0C19AFAA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E9-4C56-B8C4-FF0C19AFAA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E9-4C56-B8C4-FF0C19AFAA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E9-4C56-B8C4-FF0C19AFAA15}"/>
              </c:ext>
            </c:extLst>
          </c:dPt>
          <c:cat>
            <c:strRef>
              <c:f>median_score_analytics!$A$66:$A$70</c:f>
              <c:strCache>
                <c:ptCount val="5"/>
                <c:pt idx="0">
                  <c:v>Primary (4th)</c:v>
                </c:pt>
                <c:pt idx="1">
                  <c:v>5th to 9th</c:v>
                </c:pt>
                <c:pt idx="2">
                  <c:v>Secondary</c:v>
                </c:pt>
                <c:pt idx="3">
                  <c:v>Higher Ed</c:v>
                </c:pt>
                <c:pt idx="4">
                  <c:v>None</c:v>
                </c:pt>
              </c:strCache>
            </c:strRef>
          </c:cat>
          <c:val>
            <c:numRef>
              <c:f>median_score_analytics!$F$66:$F$70</c:f>
              <c:numCache>
                <c:formatCode>0.00%</c:formatCode>
                <c:ptCount val="5"/>
                <c:pt idx="0">
                  <c:v>0.10256410256410256</c:v>
                </c:pt>
                <c:pt idx="1">
                  <c:v>0.34482758620689657</c:v>
                </c:pt>
                <c:pt idx="2">
                  <c:v>0.27586206896551724</c:v>
                </c:pt>
                <c:pt idx="3">
                  <c:v>0.2413793103448276</c:v>
                </c:pt>
                <c:pt idx="4">
                  <c:v>0</c:v>
                </c:pt>
              </c:numCache>
            </c:numRef>
          </c:val>
          <c:extLst>
            <c:ext xmlns:c16="http://schemas.microsoft.com/office/drawing/2014/chart" uri="{C3380CC4-5D6E-409C-BE32-E72D297353CC}">
              <c16:uniqueId val="{00000001-D9AB-41B9-B88D-F82ABE0465C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Career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5F-473A-B841-9F555C14AB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5F-473A-B841-9F555C14AB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5F-473A-B841-9F555C14AB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5F-473A-B841-9F555C14AB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5F-473A-B841-9F555C14AB74}"/>
              </c:ext>
            </c:extLst>
          </c:dPt>
          <c:cat>
            <c:strRef>
              <c:f>general_analytics!$A$36:$A$40</c:f>
              <c:strCache>
                <c:ptCount val="5"/>
                <c:pt idx="0">
                  <c:v>Services</c:v>
                </c:pt>
                <c:pt idx="1">
                  <c:v>Teacher</c:v>
                </c:pt>
                <c:pt idx="2">
                  <c:v>Health</c:v>
                </c:pt>
                <c:pt idx="3">
                  <c:v>Home Spouse</c:v>
                </c:pt>
                <c:pt idx="4">
                  <c:v>Other</c:v>
                </c:pt>
              </c:strCache>
            </c:strRef>
          </c:cat>
          <c:val>
            <c:numRef>
              <c:f>general_analytics!$E$36:$E$40</c:f>
              <c:numCache>
                <c:formatCode>0.00%</c:formatCode>
                <c:ptCount val="5"/>
                <c:pt idx="0">
                  <c:v>0.26200000000000001</c:v>
                </c:pt>
                <c:pt idx="1">
                  <c:v>0.20860000000000001</c:v>
                </c:pt>
                <c:pt idx="2">
                  <c:v>8.0199999999999994E-2</c:v>
                </c:pt>
                <c:pt idx="3">
                  <c:v>9.0899999999999995E-2</c:v>
                </c:pt>
                <c:pt idx="4">
                  <c:v>0.35830000000000001</c:v>
                </c:pt>
              </c:numCache>
            </c:numRef>
          </c:val>
          <c:extLst>
            <c:ext xmlns:c16="http://schemas.microsoft.com/office/drawing/2014/chart" uri="{C3380CC4-5D6E-409C-BE32-E72D297353CC}">
              <c16:uniqueId val="{00000001-F138-47EB-9F38-064EDBA13BD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Residence Type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B6-4F10-B727-7DB2C4052E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B6-4F10-B727-7DB2C4052E3A}"/>
              </c:ext>
            </c:extLst>
          </c:dPt>
          <c:cat>
            <c:strRef>
              <c:f>median_score_analytics!$A$85:$A$86</c:f>
              <c:strCache>
                <c:ptCount val="2"/>
                <c:pt idx="0">
                  <c:v>Urban</c:v>
                </c:pt>
                <c:pt idx="1">
                  <c:v>Rural</c:v>
                </c:pt>
              </c:strCache>
            </c:strRef>
          </c:cat>
          <c:val>
            <c:numRef>
              <c:f>median_score_analytics!$E$85:$E$86</c:f>
              <c:numCache>
                <c:formatCode>0.00%</c:formatCode>
                <c:ptCount val="2"/>
                <c:pt idx="0">
                  <c:v>0.88888888888888884</c:v>
                </c:pt>
                <c:pt idx="1">
                  <c:v>0.1111111111111111</c:v>
                </c:pt>
              </c:numCache>
            </c:numRef>
          </c:val>
          <c:extLst>
            <c:ext xmlns:c16="http://schemas.microsoft.com/office/drawing/2014/chart" uri="{C3380CC4-5D6E-409C-BE32-E72D297353CC}">
              <c16:uniqueId val="{00000001-A3FD-4A97-97B4-05F4D9D167A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Residence Type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FD-4991-A542-3AAF813DED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FD-4991-A542-3AAF813DED1B}"/>
              </c:ext>
            </c:extLst>
          </c:dPt>
          <c:cat>
            <c:strRef>
              <c:f>median_score_analytics!$A$85:$A$86</c:f>
              <c:strCache>
                <c:ptCount val="2"/>
                <c:pt idx="0">
                  <c:v>Urban</c:v>
                </c:pt>
                <c:pt idx="1">
                  <c:v>Rural</c:v>
                </c:pt>
              </c:strCache>
            </c:strRef>
          </c:cat>
          <c:val>
            <c:numRef>
              <c:f>median_score_analytics!$F$85:$F$86</c:f>
              <c:numCache>
                <c:formatCode>0.00%</c:formatCode>
                <c:ptCount val="2"/>
                <c:pt idx="0">
                  <c:v>0.72413793103448276</c:v>
                </c:pt>
                <c:pt idx="1">
                  <c:v>0.27586206896551724</c:v>
                </c:pt>
              </c:numCache>
            </c:numRef>
          </c:val>
          <c:extLst>
            <c:ext xmlns:c16="http://schemas.microsoft.com/office/drawing/2014/chart" uri="{C3380CC4-5D6E-409C-BE32-E72D297353CC}">
              <c16:uniqueId val="{00000001-3DC3-438F-8A93-749B2FB842B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Parents' Marital Status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24-4C36-B5D8-A48DE66A78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24-4C36-B5D8-A48DE66A7885}"/>
              </c:ext>
            </c:extLst>
          </c:dPt>
          <c:cat>
            <c:strRef>
              <c:f>median_score_analytics!$A$88:$A$89</c:f>
              <c:strCache>
                <c:ptCount val="2"/>
                <c:pt idx="0">
                  <c:v>Parents Together</c:v>
                </c:pt>
                <c:pt idx="1">
                  <c:v>Parents Separated</c:v>
                </c:pt>
              </c:strCache>
            </c:strRef>
          </c:cat>
          <c:val>
            <c:numRef>
              <c:f>median_score_analytics!$E$88:$E$89</c:f>
              <c:numCache>
                <c:formatCode>0.00%</c:formatCode>
                <c:ptCount val="2"/>
                <c:pt idx="0">
                  <c:v>0.88888888888888884</c:v>
                </c:pt>
                <c:pt idx="1">
                  <c:v>0.1111111111111111</c:v>
                </c:pt>
              </c:numCache>
            </c:numRef>
          </c:val>
          <c:extLst>
            <c:ext xmlns:c16="http://schemas.microsoft.com/office/drawing/2014/chart" uri="{C3380CC4-5D6E-409C-BE32-E72D297353CC}">
              <c16:uniqueId val="{00000001-81C8-4553-8CA1-90F7145AD8C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Parents' Marital Status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46-4D5B-AC7A-1046243F9A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46-4D5B-AC7A-1046243F9A1B}"/>
              </c:ext>
            </c:extLst>
          </c:dPt>
          <c:cat>
            <c:strRef>
              <c:f>median_score_analytics!$A$88:$A$89</c:f>
              <c:strCache>
                <c:ptCount val="2"/>
                <c:pt idx="0">
                  <c:v>Parents Together</c:v>
                </c:pt>
                <c:pt idx="1">
                  <c:v>Parents Separated</c:v>
                </c:pt>
              </c:strCache>
            </c:strRef>
          </c:cat>
          <c:val>
            <c:numRef>
              <c:f>median_score_analytics!$F$88:$F$89</c:f>
              <c:numCache>
                <c:formatCode>0.00%</c:formatCode>
                <c:ptCount val="2"/>
                <c:pt idx="0">
                  <c:v>0.7931034482758621</c:v>
                </c:pt>
                <c:pt idx="1">
                  <c:v>0.20689655172413793</c:v>
                </c:pt>
              </c:numCache>
            </c:numRef>
          </c:val>
          <c:extLst>
            <c:ext xmlns:c16="http://schemas.microsoft.com/office/drawing/2014/chart" uri="{C3380CC4-5D6E-409C-BE32-E72D297353CC}">
              <c16:uniqueId val="{00000001-6D56-4491-9DFA-ADE8FFBDC58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After School Activities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C7-404A-BB94-E33AF29E15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C7-404A-BB94-E33AF29E1548}"/>
              </c:ext>
            </c:extLst>
          </c:dPt>
          <c:cat>
            <c:strRef>
              <c:f>median_score_analytics!$A$91:$A$92</c:f>
              <c:strCache>
                <c:ptCount val="2"/>
                <c:pt idx="0">
                  <c:v>Extracurricular</c:v>
                </c:pt>
                <c:pt idx="1">
                  <c:v>No Extracurricular</c:v>
                </c:pt>
              </c:strCache>
            </c:strRef>
          </c:cat>
          <c:val>
            <c:numRef>
              <c:f>median_score_analytics!$E$91:$E$92</c:f>
              <c:numCache>
                <c:formatCode>0.00%</c:formatCode>
                <c:ptCount val="2"/>
                <c:pt idx="0">
                  <c:v>0.5</c:v>
                </c:pt>
                <c:pt idx="1">
                  <c:v>0.5</c:v>
                </c:pt>
              </c:numCache>
            </c:numRef>
          </c:val>
          <c:extLst>
            <c:ext xmlns:c16="http://schemas.microsoft.com/office/drawing/2014/chart" uri="{C3380CC4-5D6E-409C-BE32-E72D297353CC}">
              <c16:uniqueId val="{00000001-AB2D-464D-96F0-1C0B14023D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Internet Access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70-43BE-B236-4547D68FDF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70-43BE-B236-4547D68FDF46}"/>
              </c:ext>
            </c:extLst>
          </c:dPt>
          <c:cat>
            <c:strRef>
              <c:f>median_score_analytics!$A$94:$A$95</c:f>
              <c:strCache>
                <c:ptCount val="2"/>
                <c:pt idx="0">
                  <c:v>Internet</c:v>
                </c:pt>
                <c:pt idx="1">
                  <c:v>No Internet</c:v>
                </c:pt>
              </c:strCache>
            </c:strRef>
          </c:cat>
          <c:val>
            <c:numRef>
              <c:f>median_score_analytics!$E$94:$E$95</c:f>
              <c:numCache>
                <c:formatCode>0.00%</c:formatCode>
                <c:ptCount val="2"/>
                <c:pt idx="0">
                  <c:v>1</c:v>
                </c:pt>
                <c:pt idx="1">
                  <c:v>0</c:v>
                </c:pt>
              </c:numCache>
            </c:numRef>
          </c:val>
          <c:extLst>
            <c:ext xmlns:c16="http://schemas.microsoft.com/office/drawing/2014/chart" uri="{C3380CC4-5D6E-409C-BE32-E72D297353CC}">
              <c16:uniqueId val="{00000001-5E60-4F9D-9A88-E4A6F5FAD2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Internet Access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8B-4E47-AFA0-8207C5A2F1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8B-4E47-AFA0-8207C5A2F16F}"/>
              </c:ext>
            </c:extLst>
          </c:dPt>
          <c:cat>
            <c:strRef>
              <c:f>median_score_analytics!$A$94:$A$95</c:f>
              <c:strCache>
                <c:ptCount val="2"/>
                <c:pt idx="0">
                  <c:v>Internet</c:v>
                </c:pt>
                <c:pt idx="1">
                  <c:v>No Internet</c:v>
                </c:pt>
              </c:strCache>
            </c:strRef>
          </c:cat>
          <c:val>
            <c:numRef>
              <c:f>median_score_analytics!$F$94:$F$95</c:f>
              <c:numCache>
                <c:formatCode>0.00%</c:formatCode>
                <c:ptCount val="2"/>
                <c:pt idx="0">
                  <c:v>0.7931034482758621</c:v>
                </c:pt>
                <c:pt idx="1">
                  <c:v>0.20689655172413793</c:v>
                </c:pt>
              </c:numCache>
            </c:numRef>
          </c:val>
          <c:extLst>
            <c:ext xmlns:c16="http://schemas.microsoft.com/office/drawing/2014/chart" uri="{C3380CC4-5D6E-409C-BE32-E72D297353CC}">
              <c16:uniqueId val="{00000001-2710-4ED2-848C-0D7037A7B06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Status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C8-4BBF-B293-52728CB985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C8-4BBF-B293-52728CB985CC}"/>
              </c:ext>
            </c:extLst>
          </c:dPt>
          <c:cat>
            <c:strRef>
              <c:f>median_score_analytics!$A$97:$A$98</c:f>
              <c:strCache>
                <c:ptCount val="2"/>
                <c:pt idx="0">
                  <c:v>Dating</c:v>
                </c:pt>
                <c:pt idx="1">
                  <c:v>No Dating</c:v>
                </c:pt>
              </c:strCache>
            </c:strRef>
          </c:cat>
          <c:val>
            <c:numRef>
              <c:f>median_score_analytics!$E$97:$E$98</c:f>
              <c:numCache>
                <c:formatCode>0.00%</c:formatCode>
                <c:ptCount val="2"/>
                <c:pt idx="0">
                  <c:v>0.33333333333333331</c:v>
                </c:pt>
                <c:pt idx="1">
                  <c:v>0.66666666666666663</c:v>
                </c:pt>
              </c:numCache>
            </c:numRef>
          </c:val>
          <c:extLst>
            <c:ext xmlns:c16="http://schemas.microsoft.com/office/drawing/2014/chart" uri="{C3380CC4-5D6E-409C-BE32-E72D297353CC}">
              <c16:uniqueId val="{00000001-BDFD-4A58-A5BF-CBFDB0E4F8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Status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82-4363-9978-E4EFFECAB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82-4363-9978-E4EFFECAB873}"/>
              </c:ext>
            </c:extLst>
          </c:dPt>
          <c:cat>
            <c:strRef>
              <c:f>median_score_analytics!$A$97:$A$98</c:f>
              <c:strCache>
                <c:ptCount val="2"/>
                <c:pt idx="0">
                  <c:v>Dating</c:v>
                </c:pt>
                <c:pt idx="1">
                  <c:v>No Dating</c:v>
                </c:pt>
              </c:strCache>
            </c:strRef>
          </c:cat>
          <c:val>
            <c:numRef>
              <c:f>median_score_analytics!$F$97:$F$98</c:f>
              <c:numCache>
                <c:formatCode>0.00%</c:formatCode>
                <c:ptCount val="2"/>
                <c:pt idx="0">
                  <c:v>0.37931034482758619</c:v>
                </c:pt>
                <c:pt idx="1">
                  <c:v>0.62068965517241381</c:v>
                </c:pt>
              </c:numCache>
            </c:numRef>
          </c:val>
          <c:extLst>
            <c:ext xmlns:c16="http://schemas.microsoft.com/office/drawing/2014/chart" uri="{C3380CC4-5D6E-409C-BE32-E72D297353CC}">
              <c16:uniqueId val="{00000001-E08A-4502-BB19-BC90D0990D8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After School Activities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EC-4B7A-A921-15D2E66297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EC-4B7A-A921-15D2E6629723}"/>
              </c:ext>
            </c:extLst>
          </c:dPt>
          <c:cat>
            <c:strRef>
              <c:f>median_score_analytics!$A$91:$A$92</c:f>
              <c:strCache>
                <c:ptCount val="2"/>
                <c:pt idx="0">
                  <c:v>Extracurricular</c:v>
                </c:pt>
                <c:pt idx="1">
                  <c:v>No Extracurricular</c:v>
                </c:pt>
              </c:strCache>
            </c:strRef>
          </c:cat>
          <c:val>
            <c:numRef>
              <c:f>median_score_analytics!$F$91:$F$92</c:f>
              <c:numCache>
                <c:formatCode>0.00%</c:formatCode>
                <c:ptCount val="2"/>
                <c:pt idx="0">
                  <c:v>0.48275862068965519</c:v>
                </c:pt>
                <c:pt idx="1">
                  <c:v>0.51724137931034486</c:v>
                </c:pt>
              </c:numCache>
            </c:numRef>
          </c:val>
          <c:extLst>
            <c:ext xmlns:c16="http://schemas.microsoft.com/office/drawing/2014/chart" uri="{C3380CC4-5D6E-409C-BE32-E72D297353CC}">
              <c16:uniqueId val="{00000001-8E61-412C-9EF2-E3C189DEB7A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Career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86-488F-96EC-04DCFEFD7F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86-488F-96EC-04DCFEFD7F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86-488F-96EC-04DCFEFD7F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86-488F-96EC-04DCFEFD7F0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86-488F-96EC-04DCFEFD7F07}"/>
              </c:ext>
            </c:extLst>
          </c:dPt>
          <c:cat>
            <c:strRef>
              <c:f>general_analytics!$A$36:$A$40</c:f>
              <c:strCache>
                <c:ptCount val="5"/>
                <c:pt idx="0">
                  <c:v>Services</c:v>
                </c:pt>
                <c:pt idx="1">
                  <c:v>Teacher</c:v>
                </c:pt>
                <c:pt idx="2">
                  <c:v>Health</c:v>
                </c:pt>
                <c:pt idx="3">
                  <c:v>Home Spouse</c:v>
                </c:pt>
                <c:pt idx="4">
                  <c:v>Other</c:v>
                </c:pt>
              </c:strCache>
            </c:strRef>
          </c:cat>
          <c:val>
            <c:numRef>
              <c:f>general_analytics!$F$36:$F$40</c:f>
              <c:numCache>
                <c:formatCode>0.00%</c:formatCode>
                <c:ptCount val="5"/>
                <c:pt idx="0">
                  <c:v>0.2596</c:v>
                </c:pt>
                <c:pt idx="1">
                  <c:v>9.1300000000000006E-2</c:v>
                </c:pt>
                <c:pt idx="2">
                  <c:v>9.1300000000000006E-2</c:v>
                </c:pt>
                <c:pt idx="3">
                  <c:v>0.2019</c:v>
                </c:pt>
                <c:pt idx="4">
                  <c:v>0.35580000000000001</c:v>
                </c:pt>
              </c:numCache>
            </c:numRef>
          </c:val>
          <c:extLst>
            <c:ext xmlns:c16="http://schemas.microsoft.com/office/drawing/2014/chart" uri="{C3380CC4-5D6E-409C-BE32-E72D297353CC}">
              <c16:uniqueId val="{00000001-A451-4DC8-9926-8599BB2968D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t>Hours Spent Studying (Boys/Min)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lotArea>
      <c:layout/>
      <c:pieChart>
        <c:varyColors val="1"/>
        <c:ser>
          <c:idx val="0"/>
          <c:order val="0"/>
          <c:tx>
            <c:strRef>
              <c:f>zero_score_analytics!$E$5</c:f>
              <c:strCache>
                <c:ptCount val="1"/>
                <c:pt idx="0">
                  <c:v>Male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88-4FB6-910B-1E59D9BF3E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88-4FB6-910B-1E59D9BF3E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88-4FB6-910B-1E59D9BF3E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88-4FB6-910B-1E59D9BF3EF1}"/>
              </c:ext>
            </c:extLst>
          </c:dPt>
          <c:cat>
            <c:strRef>
              <c:f>zero_score_analytics!$A$6:$A$9</c:f>
              <c:strCache>
                <c:ptCount val="4"/>
                <c:pt idx="0">
                  <c:v>&lt; 2 Hours</c:v>
                </c:pt>
                <c:pt idx="1">
                  <c:v>2 - 5 Hours</c:v>
                </c:pt>
                <c:pt idx="2">
                  <c:v>5 - 10 Hours</c:v>
                </c:pt>
                <c:pt idx="3">
                  <c:v>&gt; 10 Hours</c:v>
                </c:pt>
              </c:strCache>
            </c:strRef>
          </c:cat>
          <c:val>
            <c:numRef>
              <c:f>zero_score_analytics!$E$6:$E$9</c:f>
              <c:numCache>
                <c:formatCode>0.00%</c:formatCode>
                <c:ptCount val="4"/>
                <c:pt idx="0">
                  <c:v>0.66666666666666663</c:v>
                </c:pt>
                <c:pt idx="1">
                  <c:v>0.26666666666666666</c:v>
                </c:pt>
                <c:pt idx="2">
                  <c:v>0</c:v>
                </c:pt>
                <c:pt idx="3">
                  <c:v>6.6666666666666666E-2</c:v>
                </c:pt>
              </c:numCache>
            </c:numRef>
          </c:val>
          <c:extLst>
            <c:ext xmlns:c16="http://schemas.microsoft.com/office/drawing/2014/chart" uri="{C3380CC4-5D6E-409C-BE32-E72D297353CC}">
              <c16:uniqueId val="{00000008-9788-4FB6-910B-1E59D9BF3EF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t>Hours Spent Studying (Girls/Min)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lotArea>
      <c:layout/>
      <c:pieChart>
        <c:varyColors val="1"/>
        <c:ser>
          <c:idx val="0"/>
          <c:order val="0"/>
          <c:tx>
            <c:strRef>
              <c:f>zero_score_analytics!$F$5</c:f>
              <c:strCache>
                <c:ptCount val="1"/>
                <c:pt idx="0">
                  <c:v>Female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9C-4AC2-99BC-0756CDA53B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9C-4AC2-99BC-0756CDA53B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9C-4AC2-99BC-0756CDA53B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9C-4AC2-99BC-0756CDA53B65}"/>
              </c:ext>
            </c:extLst>
          </c:dPt>
          <c:cat>
            <c:strRef>
              <c:f>zero_score_analytics!$A$6:$A$9</c:f>
              <c:strCache>
                <c:ptCount val="4"/>
                <c:pt idx="0">
                  <c:v>&lt; 2 Hours</c:v>
                </c:pt>
                <c:pt idx="1">
                  <c:v>2 - 5 Hours</c:v>
                </c:pt>
                <c:pt idx="2">
                  <c:v>5 - 10 Hours</c:v>
                </c:pt>
                <c:pt idx="3">
                  <c:v>&gt; 10 Hours</c:v>
                </c:pt>
              </c:strCache>
            </c:strRef>
          </c:cat>
          <c:val>
            <c:numRef>
              <c:f>zero_score_analytics!$F$6:$F$9</c:f>
              <c:numCache>
                <c:formatCode>0.00%</c:formatCode>
                <c:ptCount val="4"/>
                <c:pt idx="0">
                  <c:v>0.13043478260869565</c:v>
                </c:pt>
                <c:pt idx="1">
                  <c:v>0.52173913043478259</c:v>
                </c:pt>
                <c:pt idx="2">
                  <c:v>0.2608695652173913</c:v>
                </c:pt>
                <c:pt idx="3">
                  <c:v>8.6956521739130432E-2</c:v>
                </c:pt>
              </c:numCache>
            </c:numRef>
          </c:val>
          <c:extLst>
            <c:ext xmlns:c16="http://schemas.microsoft.com/office/drawing/2014/chart" uri="{C3380CC4-5D6E-409C-BE32-E72D297353CC}">
              <c16:uniqueId val="{00000008-DE9C-4AC2-99BC-0756CDA53B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 Spent Studying (Boys/Median)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90-448B-812B-C3C70CFA98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90-448B-812B-C3C70CFA98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90-448B-812B-C3C70CFA98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90-448B-812B-C3C70CFA9851}"/>
              </c:ext>
            </c:extLst>
          </c:dPt>
          <c:cat>
            <c:strRef>
              <c:f>median_score_analytics!$A$6:$A$9</c:f>
              <c:strCache>
                <c:ptCount val="4"/>
                <c:pt idx="0">
                  <c:v>&lt; 2 Hours</c:v>
                </c:pt>
                <c:pt idx="1">
                  <c:v>2 - 5 Hours</c:v>
                </c:pt>
                <c:pt idx="2">
                  <c:v>5 - 10 Hours</c:v>
                </c:pt>
                <c:pt idx="3">
                  <c:v>&gt; 10 Hours</c:v>
                </c:pt>
              </c:strCache>
            </c:strRef>
          </c:cat>
          <c:val>
            <c:numRef>
              <c:f>median_score_analytics!$E$6:$E$9</c:f>
              <c:numCache>
                <c:formatCode>0.00%</c:formatCode>
                <c:ptCount val="4"/>
                <c:pt idx="0">
                  <c:v>0.22222222222222221</c:v>
                </c:pt>
                <c:pt idx="1">
                  <c:v>0.66666666666666663</c:v>
                </c:pt>
                <c:pt idx="2">
                  <c:v>0.1111111111111111</c:v>
                </c:pt>
                <c:pt idx="3">
                  <c:v>0</c:v>
                </c:pt>
              </c:numCache>
            </c:numRef>
          </c:val>
          <c:extLst>
            <c:ext xmlns:c16="http://schemas.microsoft.com/office/drawing/2014/chart" uri="{C3380CC4-5D6E-409C-BE32-E72D297353CC}">
              <c16:uniqueId val="{00000008-1190-448B-812B-C3C70CFA985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 Spent Studying (Girls/Median)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4E-421B-BF40-1B0323B678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4E-421B-BF40-1B0323B678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4E-421B-BF40-1B0323B678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4E-421B-BF40-1B0323B67828}"/>
              </c:ext>
            </c:extLst>
          </c:dPt>
          <c:cat>
            <c:strRef>
              <c:f>median_score_analytics!$A$6:$A$9</c:f>
              <c:strCache>
                <c:ptCount val="4"/>
                <c:pt idx="0">
                  <c:v>&lt; 2 Hours</c:v>
                </c:pt>
                <c:pt idx="1">
                  <c:v>2 - 5 Hours</c:v>
                </c:pt>
                <c:pt idx="2">
                  <c:v>5 - 10 Hours</c:v>
                </c:pt>
                <c:pt idx="3">
                  <c:v>&gt; 10 Hours</c:v>
                </c:pt>
              </c:strCache>
            </c:strRef>
          </c:cat>
          <c:val>
            <c:numRef>
              <c:f>median_score_analytics!$F$6:$F$9</c:f>
              <c:numCache>
                <c:formatCode>0.00%</c:formatCode>
                <c:ptCount val="4"/>
                <c:pt idx="0">
                  <c:v>0.10344827586206896</c:v>
                </c:pt>
                <c:pt idx="1">
                  <c:v>0.58620689655172409</c:v>
                </c:pt>
                <c:pt idx="2">
                  <c:v>0.20689655172413793</c:v>
                </c:pt>
                <c:pt idx="3">
                  <c:v>0.10344827586206896</c:v>
                </c:pt>
              </c:numCache>
            </c:numRef>
          </c:val>
          <c:extLst>
            <c:ext xmlns:c16="http://schemas.microsoft.com/office/drawing/2014/chart" uri="{C3380CC4-5D6E-409C-BE32-E72D297353CC}">
              <c16:uniqueId val="{00000008-314E-421B-BF40-1B0323B6782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t>Father's Education (Girls/Median)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0A-4549-98A3-5B53297316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0A-4549-98A3-5B53297316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0A-4549-98A3-5B53297316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0A-4549-98A3-5B53297316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0A-4549-98A3-5B5329731665}"/>
              </c:ext>
            </c:extLst>
          </c:dPt>
          <c:cat>
            <c:strRef>
              <c:f>median_score_analytics!$A$51:$A$55</c:f>
              <c:strCache>
                <c:ptCount val="5"/>
                <c:pt idx="0">
                  <c:v>Primary (4th)</c:v>
                </c:pt>
                <c:pt idx="1">
                  <c:v>5th to 9th</c:v>
                </c:pt>
                <c:pt idx="2">
                  <c:v>Secondary</c:v>
                </c:pt>
                <c:pt idx="3">
                  <c:v>Higher Ed</c:v>
                </c:pt>
                <c:pt idx="4">
                  <c:v>None</c:v>
                </c:pt>
              </c:strCache>
            </c:strRef>
          </c:cat>
          <c:val>
            <c:numRef>
              <c:f>median_score_analytics!$F$51:$F$55</c:f>
              <c:numCache>
                <c:formatCode>0.00%</c:formatCode>
                <c:ptCount val="5"/>
                <c:pt idx="0">
                  <c:v>0.17241379310344829</c:v>
                </c:pt>
                <c:pt idx="1">
                  <c:v>0.34482758620689657</c:v>
                </c:pt>
                <c:pt idx="2">
                  <c:v>0.13793103448275862</c:v>
                </c:pt>
                <c:pt idx="3">
                  <c:v>0.34482758620689657</c:v>
                </c:pt>
                <c:pt idx="4">
                  <c:v>0</c:v>
                </c:pt>
              </c:numCache>
            </c:numRef>
          </c:val>
          <c:extLst>
            <c:ext xmlns:c16="http://schemas.microsoft.com/office/drawing/2014/chart" uri="{C3380CC4-5D6E-409C-BE32-E72D297353CC}">
              <c16:uniqueId val="{0000000A-8B0A-4549-98A3-5B53297316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t>Father's Education (Boys/Min)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98-4A24-AC8F-1CA6B4C356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98-4A24-AC8F-1CA6B4C356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98-4A24-AC8F-1CA6B4C356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98-4A24-AC8F-1CA6B4C356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98-4A24-AC8F-1CA6B4C35665}"/>
              </c:ext>
            </c:extLst>
          </c:dPt>
          <c:cat>
            <c:strRef>
              <c:f>zero_score_analytics!$A$51:$A$55</c:f>
              <c:strCache>
                <c:ptCount val="5"/>
                <c:pt idx="0">
                  <c:v>Primary (4th)</c:v>
                </c:pt>
                <c:pt idx="1">
                  <c:v>5th to 9th</c:v>
                </c:pt>
                <c:pt idx="2">
                  <c:v>Secondary</c:v>
                </c:pt>
                <c:pt idx="3">
                  <c:v>Higher Ed</c:v>
                </c:pt>
                <c:pt idx="4">
                  <c:v>None</c:v>
                </c:pt>
              </c:strCache>
            </c:strRef>
          </c:cat>
          <c:val>
            <c:numRef>
              <c:f>zero_score_analytics!$E$51:$E$55</c:f>
              <c:numCache>
                <c:formatCode>0.00%</c:formatCode>
                <c:ptCount val="5"/>
                <c:pt idx="0">
                  <c:v>0.26666666666666666</c:v>
                </c:pt>
                <c:pt idx="1">
                  <c:v>0.26666666666666666</c:v>
                </c:pt>
                <c:pt idx="2">
                  <c:v>0.13333333333333333</c:v>
                </c:pt>
                <c:pt idx="3">
                  <c:v>0.33333333333333331</c:v>
                </c:pt>
                <c:pt idx="4">
                  <c:v>0</c:v>
                </c:pt>
              </c:numCache>
            </c:numRef>
          </c:val>
          <c:extLst>
            <c:ext xmlns:c16="http://schemas.microsoft.com/office/drawing/2014/chart" uri="{C3380CC4-5D6E-409C-BE32-E72D297353CC}">
              <c16:uniqueId val="{0000000A-8C98-4A24-AC8F-1CA6B4C356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t>Father's Education (Girls/Min)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07-4520-94EB-9C5B69881D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07-4520-94EB-9C5B69881D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07-4520-94EB-9C5B69881D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07-4520-94EB-9C5B69881D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07-4520-94EB-9C5B69881DC3}"/>
              </c:ext>
            </c:extLst>
          </c:dPt>
          <c:cat>
            <c:strRef>
              <c:f>zero_score_analytics!$A$51:$A$55</c:f>
              <c:strCache>
                <c:ptCount val="5"/>
                <c:pt idx="0">
                  <c:v>Primary (4th)</c:v>
                </c:pt>
                <c:pt idx="1">
                  <c:v>5th to 9th</c:v>
                </c:pt>
                <c:pt idx="2">
                  <c:v>Secondary</c:v>
                </c:pt>
                <c:pt idx="3">
                  <c:v>Higher Ed</c:v>
                </c:pt>
                <c:pt idx="4">
                  <c:v>None</c:v>
                </c:pt>
              </c:strCache>
            </c:strRef>
          </c:cat>
          <c:val>
            <c:numRef>
              <c:f>zero_score_analytics!$F$51:$F$55</c:f>
              <c:numCache>
                <c:formatCode>0.00%</c:formatCode>
                <c:ptCount val="5"/>
                <c:pt idx="0">
                  <c:v>0.30434782608695654</c:v>
                </c:pt>
                <c:pt idx="1">
                  <c:v>0.39130434782608697</c:v>
                </c:pt>
                <c:pt idx="2">
                  <c:v>0.17391304347826086</c:v>
                </c:pt>
                <c:pt idx="3">
                  <c:v>0.13043478260869565</c:v>
                </c:pt>
                <c:pt idx="4">
                  <c:v>0</c:v>
                </c:pt>
              </c:numCache>
            </c:numRef>
          </c:val>
          <c:extLst>
            <c:ext xmlns:c16="http://schemas.microsoft.com/office/drawing/2014/chart" uri="{C3380CC4-5D6E-409C-BE32-E72D297353CC}">
              <c16:uniqueId val="{0000000A-4E07-4520-94EB-9C5B69881DC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t>Father's Education (Boys/Median)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9D-41F1-BF54-CCCD5A6D3E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9D-41F1-BF54-CCCD5A6D3E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9D-41F1-BF54-CCCD5A6D3E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9D-41F1-BF54-CCCD5A6D3E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9D-41F1-BF54-CCCD5A6D3E97}"/>
              </c:ext>
            </c:extLst>
          </c:dPt>
          <c:cat>
            <c:strRef>
              <c:f>median_score_analytics!$A$51:$A$55</c:f>
              <c:strCache>
                <c:ptCount val="5"/>
                <c:pt idx="0">
                  <c:v>Primary (4th)</c:v>
                </c:pt>
                <c:pt idx="1">
                  <c:v>5th to 9th</c:v>
                </c:pt>
                <c:pt idx="2">
                  <c:v>Secondary</c:v>
                </c:pt>
                <c:pt idx="3">
                  <c:v>Higher Ed</c:v>
                </c:pt>
                <c:pt idx="4">
                  <c:v>None</c:v>
                </c:pt>
              </c:strCache>
            </c:strRef>
          </c:cat>
          <c:val>
            <c:numRef>
              <c:f>median_score_analytics!$E$51:$E$55</c:f>
              <c:numCache>
                <c:formatCode>0.00%</c:formatCode>
                <c:ptCount val="5"/>
                <c:pt idx="0">
                  <c:v>5.5555555555555552E-2</c:v>
                </c:pt>
                <c:pt idx="1">
                  <c:v>0.3888888888888889</c:v>
                </c:pt>
                <c:pt idx="2">
                  <c:v>0.3888888888888889</c:v>
                </c:pt>
                <c:pt idx="3">
                  <c:v>0.16666666666666666</c:v>
                </c:pt>
                <c:pt idx="4">
                  <c:v>0</c:v>
                </c:pt>
              </c:numCache>
            </c:numRef>
          </c:val>
          <c:extLst>
            <c:ext xmlns:c16="http://schemas.microsoft.com/office/drawing/2014/chart" uri="{C3380CC4-5D6E-409C-BE32-E72D297353CC}">
              <c16:uniqueId val="{0000000A-D69D-41F1-BF54-CCCD5A6D3E9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t>Mother's Education (Boys/Min)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89-4F06-B8DA-75DAAE627B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89-4F06-B8DA-75DAAE627B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89-4F06-B8DA-75DAAE627B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89-4F06-B8DA-75DAAE627B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89-4F06-B8DA-75DAAE627B4B}"/>
              </c:ext>
            </c:extLst>
          </c:dPt>
          <c:cat>
            <c:strRef>
              <c:f>zero_score_analytics!$A$66:$A$70</c:f>
              <c:strCache>
                <c:ptCount val="5"/>
                <c:pt idx="0">
                  <c:v>Primary (4th)</c:v>
                </c:pt>
                <c:pt idx="1">
                  <c:v>5th to 9th</c:v>
                </c:pt>
                <c:pt idx="2">
                  <c:v>Secondary</c:v>
                </c:pt>
                <c:pt idx="3">
                  <c:v>Higher Ed</c:v>
                </c:pt>
                <c:pt idx="4">
                  <c:v>None</c:v>
                </c:pt>
              </c:strCache>
            </c:strRef>
          </c:cat>
          <c:val>
            <c:numRef>
              <c:f>zero_score_analytics!$E$66:$E$70</c:f>
              <c:numCache>
                <c:formatCode>0.00%</c:formatCode>
                <c:ptCount val="5"/>
                <c:pt idx="0">
                  <c:v>0.2</c:v>
                </c:pt>
                <c:pt idx="1">
                  <c:v>0.26666666666666666</c:v>
                </c:pt>
                <c:pt idx="2">
                  <c:v>0.26666666666666666</c:v>
                </c:pt>
                <c:pt idx="3">
                  <c:v>0.26666666666666666</c:v>
                </c:pt>
                <c:pt idx="4">
                  <c:v>0</c:v>
                </c:pt>
              </c:numCache>
            </c:numRef>
          </c:val>
          <c:extLst>
            <c:ext xmlns:c16="http://schemas.microsoft.com/office/drawing/2014/chart" uri="{C3380CC4-5D6E-409C-BE32-E72D297353CC}">
              <c16:uniqueId val="{0000000A-0889-4F06-B8DA-75DAAE627B4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t>Mother's Education (Girls/Min)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88-4156-B43C-287BB3D734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88-4156-B43C-287BB3D734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88-4156-B43C-287BB3D734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88-4156-B43C-287BB3D734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88-4156-B43C-287BB3D73442}"/>
              </c:ext>
            </c:extLst>
          </c:dPt>
          <c:cat>
            <c:strRef>
              <c:f>zero_score_analytics!$A$66:$A$70</c:f>
              <c:strCache>
                <c:ptCount val="5"/>
                <c:pt idx="0">
                  <c:v>Primary (4th)</c:v>
                </c:pt>
                <c:pt idx="1">
                  <c:v>5th to 9th</c:v>
                </c:pt>
                <c:pt idx="2">
                  <c:v>Secondary</c:v>
                </c:pt>
                <c:pt idx="3">
                  <c:v>Higher Ed</c:v>
                </c:pt>
                <c:pt idx="4">
                  <c:v>None</c:v>
                </c:pt>
              </c:strCache>
            </c:strRef>
          </c:cat>
          <c:val>
            <c:numRef>
              <c:f>zero_score_analytics!$F$66:$F$70</c:f>
              <c:numCache>
                <c:formatCode>0.00%</c:formatCode>
                <c:ptCount val="5"/>
                <c:pt idx="0">
                  <c:v>0.2608695652173913</c:v>
                </c:pt>
                <c:pt idx="1">
                  <c:v>0.43478260869565216</c:v>
                </c:pt>
                <c:pt idx="2">
                  <c:v>0.21739130434782608</c:v>
                </c:pt>
                <c:pt idx="3">
                  <c:v>8.6956521739130432E-2</c:v>
                </c:pt>
                <c:pt idx="4">
                  <c:v>0</c:v>
                </c:pt>
              </c:numCache>
            </c:numRef>
          </c:val>
          <c:extLst>
            <c:ext xmlns:c16="http://schemas.microsoft.com/office/drawing/2014/chart" uri="{C3380CC4-5D6E-409C-BE32-E72D297353CC}">
              <c16:uniqueId val="{0000000A-FB88-4156-B43C-287BB3D7344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Education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62-45D0-8567-C132A479C4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62-45D0-8567-C132A479C4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62-45D0-8567-C132A479C4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62-45D0-8567-C132A479C4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62-45D0-8567-C132A479C475}"/>
              </c:ext>
            </c:extLst>
          </c:dPt>
          <c:cat>
            <c:strRef>
              <c:f>general_analytics!$A$51:$A$55</c:f>
              <c:strCache>
                <c:ptCount val="5"/>
                <c:pt idx="0">
                  <c:v>Primary Ed. </c:v>
                </c:pt>
                <c:pt idx="1">
                  <c:v>5th to 9th</c:v>
                </c:pt>
                <c:pt idx="2">
                  <c:v>Secondary Ed.</c:v>
                </c:pt>
                <c:pt idx="3">
                  <c:v>Higher Ed.</c:v>
                </c:pt>
                <c:pt idx="4">
                  <c:v>No Ed.</c:v>
                </c:pt>
              </c:strCache>
            </c:strRef>
          </c:cat>
          <c:val>
            <c:numRef>
              <c:f>general_analytics!$E$51:$E$55</c:f>
              <c:numCache>
                <c:formatCode>0.00%</c:formatCode>
                <c:ptCount val="5"/>
                <c:pt idx="0">
                  <c:v>0.18179999999999999</c:v>
                </c:pt>
                <c:pt idx="1">
                  <c:v>0.29409999999999997</c:v>
                </c:pt>
                <c:pt idx="2">
                  <c:v>0.26200000000000001</c:v>
                </c:pt>
                <c:pt idx="3">
                  <c:v>0.25130000000000002</c:v>
                </c:pt>
                <c:pt idx="4">
                  <c:v>1.0699999999999999E-2</c:v>
                </c:pt>
              </c:numCache>
            </c:numRef>
          </c:val>
          <c:extLst>
            <c:ext xmlns:c16="http://schemas.microsoft.com/office/drawing/2014/chart" uri="{C3380CC4-5D6E-409C-BE32-E72D297353CC}">
              <c16:uniqueId val="{00000001-4257-4F8C-A893-7D0C2DF89AF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t>Mother's Education (Boys/Median)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F5-4714-9691-DB823A8DEC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F5-4714-9691-DB823A8DEC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F5-4714-9691-DB823A8DEC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F5-4714-9691-DB823A8DEC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F5-4714-9691-DB823A8DECBA}"/>
              </c:ext>
            </c:extLst>
          </c:dPt>
          <c:cat>
            <c:strRef>
              <c:f>median_score_analytics!$A$66:$A$70</c:f>
              <c:strCache>
                <c:ptCount val="5"/>
                <c:pt idx="0">
                  <c:v>Primary (4th)</c:v>
                </c:pt>
                <c:pt idx="1">
                  <c:v>5th to 9th</c:v>
                </c:pt>
                <c:pt idx="2">
                  <c:v>Secondary</c:v>
                </c:pt>
                <c:pt idx="3">
                  <c:v>Higher Ed</c:v>
                </c:pt>
                <c:pt idx="4">
                  <c:v>None</c:v>
                </c:pt>
              </c:strCache>
            </c:strRef>
          </c:cat>
          <c:val>
            <c:numRef>
              <c:f>median_score_analytics!$E$66:$E$70</c:f>
              <c:numCache>
                <c:formatCode>0.00%</c:formatCode>
                <c:ptCount val="5"/>
                <c:pt idx="0">
                  <c:v>0.16666666666666666</c:v>
                </c:pt>
                <c:pt idx="1">
                  <c:v>0.27777777777777779</c:v>
                </c:pt>
                <c:pt idx="2">
                  <c:v>0.16666666666666666</c:v>
                </c:pt>
                <c:pt idx="3">
                  <c:v>0.3888888888888889</c:v>
                </c:pt>
                <c:pt idx="4">
                  <c:v>0</c:v>
                </c:pt>
              </c:numCache>
            </c:numRef>
          </c:val>
          <c:extLst>
            <c:ext xmlns:c16="http://schemas.microsoft.com/office/drawing/2014/chart" uri="{C3380CC4-5D6E-409C-BE32-E72D297353CC}">
              <c16:uniqueId val="{0000000A-4CF5-4714-9691-DB823A8DECB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r>
              <a:rPr lang="en-US"/>
              <a:t>Mother's Education (Girls/Median)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404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5D-498B-A631-93B2E807E3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5D-498B-A631-93B2E807E3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5D-498B-A631-93B2E807E3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5D-498B-A631-93B2E807E3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5D-498B-A631-93B2E807E399}"/>
              </c:ext>
            </c:extLst>
          </c:dPt>
          <c:cat>
            <c:strRef>
              <c:f>median_score_analytics!$A$66:$A$70</c:f>
              <c:strCache>
                <c:ptCount val="5"/>
                <c:pt idx="0">
                  <c:v>Primary (4th)</c:v>
                </c:pt>
                <c:pt idx="1">
                  <c:v>5th to 9th</c:v>
                </c:pt>
                <c:pt idx="2">
                  <c:v>Secondary</c:v>
                </c:pt>
                <c:pt idx="3">
                  <c:v>Higher Ed</c:v>
                </c:pt>
                <c:pt idx="4">
                  <c:v>None</c:v>
                </c:pt>
              </c:strCache>
            </c:strRef>
          </c:cat>
          <c:val>
            <c:numRef>
              <c:f>median_score_analytics!$F$66:$F$70</c:f>
              <c:numCache>
                <c:formatCode>0.00%</c:formatCode>
                <c:ptCount val="5"/>
                <c:pt idx="0">
                  <c:v>0.10256410256410256</c:v>
                </c:pt>
                <c:pt idx="1">
                  <c:v>0.34482758620689657</c:v>
                </c:pt>
                <c:pt idx="2">
                  <c:v>0.27586206896551724</c:v>
                </c:pt>
                <c:pt idx="3">
                  <c:v>0.2413793103448276</c:v>
                </c:pt>
                <c:pt idx="4">
                  <c:v>0</c:v>
                </c:pt>
              </c:numCache>
            </c:numRef>
          </c:val>
          <c:extLst>
            <c:ext xmlns:c16="http://schemas.microsoft.com/office/drawing/2014/chart" uri="{C3380CC4-5D6E-409C-BE32-E72D297353CC}">
              <c16:uniqueId val="{0000000A-0D5D-498B-A631-93B2E807E39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Career (Boys/Min)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A8-445B-8793-49AB016A85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A8-445B-8793-49AB016A85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A8-445B-8793-49AB016A85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A8-445B-8793-49AB016A85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A8-445B-8793-49AB016A8574}"/>
              </c:ext>
            </c:extLst>
          </c:dPt>
          <c:cat>
            <c:strRef>
              <c:f>zero_score_analytics!$A$21:$A$25</c:f>
              <c:strCache>
                <c:ptCount val="5"/>
                <c:pt idx="0">
                  <c:v>Civil Services</c:v>
                </c:pt>
                <c:pt idx="1">
                  <c:v>Teacher</c:v>
                </c:pt>
                <c:pt idx="2">
                  <c:v>Health Care</c:v>
                </c:pt>
                <c:pt idx="3">
                  <c:v>Stay at Home</c:v>
                </c:pt>
                <c:pt idx="4">
                  <c:v>Other</c:v>
                </c:pt>
              </c:strCache>
            </c:strRef>
          </c:cat>
          <c:val>
            <c:numRef>
              <c:f>zero_score_analytics!$E$21:$E$25</c:f>
              <c:numCache>
                <c:formatCode>0.00%</c:formatCode>
                <c:ptCount val="5"/>
                <c:pt idx="0">
                  <c:v>0.26666666666666666</c:v>
                </c:pt>
                <c:pt idx="1">
                  <c:v>0.13333333333333333</c:v>
                </c:pt>
                <c:pt idx="2">
                  <c:v>0</c:v>
                </c:pt>
                <c:pt idx="3">
                  <c:v>6.6666666666666666E-2</c:v>
                </c:pt>
                <c:pt idx="4">
                  <c:v>0.6</c:v>
                </c:pt>
              </c:numCache>
            </c:numRef>
          </c:val>
          <c:extLst>
            <c:ext xmlns:c16="http://schemas.microsoft.com/office/drawing/2014/chart" uri="{C3380CC4-5D6E-409C-BE32-E72D297353CC}">
              <c16:uniqueId val="{0000000A-00A8-445B-8793-49AB016A857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Career (Girls/Min)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63-422C-8748-8AE6D1D0CF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63-422C-8748-8AE6D1D0CF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63-422C-8748-8AE6D1D0CF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63-422C-8748-8AE6D1D0CF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63-422C-8748-8AE6D1D0CF3E}"/>
              </c:ext>
            </c:extLst>
          </c:dPt>
          <c:cat>
            <c:strRef>
              <c:f>zero_score_analytics!$A$21:$A$25</c:f>
              <c:strCache>
                <c:ptCount val="5"/>
                <c:pt idx="0">
                  <c:v>Civil Services</c:v>
                </c:pt>
                <c:pt idx="1">
                  <c:v>Teacher</c:v>
                </c:pt>
                <c:pt idx="2">
                  <c:v>Health Care</c:v>
                </c:pt>
                <c:pt idx="3">
                  <c:v>Stay at Home</c:v>
                </c:pt>
                <c:pt idx="4">
                  <c:v>Other</c:v>
                </c:pt>
              </c:strCache>
            </c:strRef>
          </c:cat>
          <c:val>
            <c:numRef>
              <c:f>zero_score_analytics!$F$21:$F$25</c:f>
              <c:numCache>
                <c:formatCode>0.00%</c:formatCode>
                <c:ptCount val="5"/>
                <c:pt idx="0">
                  <c:v>0.30434782608695654</c:v>
                </c:pt>
                <c:pt idx="1">
                  <c:v>4.3478260869565216E-2</c:v>
                </c:pt>
                <c:pt idx="2">
                  <c:v>0</c:v>
                </c:pt>
                <c:pt idx="3">
                  <c:v>8.6956521739130432E-2</c:v>
                </c:pt>
                <c:pt idx="4">
                  <c:v>0.56521739130434778</c:v>
                </c:pt>
              </c:numCache>
            </c:numRef>
          </c:val>
          <c:extLst>
            <c:ext xmlns:c16="http://schemas.microsoft.com/office/drawing/2014/chart" uri="{C3380CC4-5D6E-409C-BE32-E72D297353CC}">
              <c16:uniqueId val="{0000000A-3A63-422C-8748-8AE6D1D0CF3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Career (Boys/Median)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3B-4AEA-9690-C52B48126E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3B-4AEA-9690-C52B48126E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3B-4AEA-9690-C52B48126E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3B-4AEA-9690-C52B48126E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3B-4AEA-9690-C52B48126EBF}"/>
              </c:ext>
            </c:extLst>
          </c:dPt>
          <c:cat>
            <c:strRef>
              <c:f>median_score_analytics!$A$21:$A$25</c:f>
              <c:strCache>
                <c:ptCount val="5"/>
                <c:pt idx="0">
                  <c:v>Civil Services</c:v>
                </c:pt>
                <c:pt idx="1">
                  <c:v>Teacher</c:v>
                </c:pt>
                <c:pt idx="2">
                  <c:v>Health Care</c:v>
                </c:pt>
                <c:pt idx="3">
                  <c:v>Stay at Home</c:v>
                </c:pt>
                <c:pt idx="4">
                  <c:v>Other</c:v>
                </c:pt>
              </c:strCache>
            </c:strRef>
          </c:cat>
          <c:val>
            <c:numRef>
              <c:f>median_score_analytics!$E$21:$E$25</c:f>
              <c:numCache>
                <c:formatCode>0.00%</c:formatCode>
                <c:ptCount val="5"/>
                <c:pt idx="0">
                  <c:v>0.22222222222222221</c:v>
                </c:pt>
                <c:pt idx="1">
                  <c:v>5.5555555555555552E-2</c:v>
                </c:pt>
                <c:pt idx="2">
                  <c:v>0</c:v>
                </c:pt>
                <c:pt idx="3">
                  <c:v>5.5555555555555552E-2</c:v>
                </c:pt>
                <c:pt idx="4">
                  <c:v>0.66666666666666663</c:v>
                </c:pt>
              </c:numCache>
            </c:numRef>
          </c:val>
          <c:extLst>
            <c:ext xmlns:c16="http://schemas.microsoft.com/office/drawing/2014/chart" uri="{C3380CC4-5D6E-409C-BE32-E72D297353CC}">
              <c16:uniqueId val="{0000000A-0A3B-4AEA-9690-C52B48126EB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Career (Girls/Median)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03-4008-B92B-8FAE825175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03-4008-B92B-8FAE825175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03-4008-B92B-8FAE825175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03-4008-B92B-8FAE825175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03-4008-B92B-8FAE82517598}"/>
              </c:ext>
            </c:extLst>
          </c:dPt>
          <c:cat>
            <c:strRef>
              <c:f>median_score_analytics!$A$21:$A$25</c:f>
              <c:strCache>
                <c:ptCount val="5"/>
                <c:pt idx="0">
                  <c:v>Civil Services</c:v>
                </c:pt>
                <c:pt idx="1">
                  <c:v>Teacher</c:v>
                </c:pt>
                <c:pt idx="2">
                  <c:v>Health Care</c:v>
                </c:pt>
                <c:pt idx="3">
                  <c:v>Stay at Home</c:v>
                </c:pt>
                <c:pt idx="4">
                  <c:v>Other</c:v>
                </c:pt>
              </c:strCache>
            </c:strRef>
          </c:cat>
          <c:val>
            <c:numRef>
              <c:f>median_score_analytics!$F$21:$F$25</c:f>
              <c:numCache>
                <c:formatCode>0.00%</c:formatCode>
                <c:ptCount val="5"/>
                <c:pt idx="0">
                  <c:v>0.34482758620689657</c:v>
                </c:pt>
                <c:pt idx="1">
                  <c:v>6.8965517241379309E-2</c:v>
                </c:pt>
                <c:pt idx="2">
                  <c:v>6.8965517241379309E-2</c:v>
                </c:pt>
                <c:pt idx="3">
                  <c:v>3.4482758620689655E-2</c:v>
                </c:pt>
                <c:pt idx="4">
                  <c:v>0.48275862068965519</c:v>
                </c:pt>
              </c:numCache>
            </c:numRef>
          </c:val>
          <c:extLst>
            <c:ext xmlns:c16="http://schemas.microsoft.com/office/drawing/2014/chart" uri="{C3380CC4-5D6E-409C-BE32-E72D297353CC}">
              <c16:uniqueId val="{0000000A-EC03-4008-B92B-8FAE8251759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Career (Boys/Min)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F2-4AB2-806F-1A843016BA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F2-4AB2-806F-1A843016BA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F2-4AB2-806F-1A843016BA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F2-4AB2-806F-1A843016BA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F2-4AB2-806F-1A843016BA2A}"/>
              </c:ext>
            </c:extLst>
          </c:dPt>
          <c:cat>
            <c:strRef>
              <c:f>zero_score_analytics!$A$36:$A$40</c:f>
              <c:strCache>
                <c:ptCount val="5"/>
                <c:pt idx="0">
                  <c:v>Civil Services</c:v>
                </c:pt>
                <c:pt idx="1">
                  <c:v>Teacher</c:v>
                </c:pt>
                <c:pt idx="2">
                  <c:v>Health Care</c:v>
                </c:pt>
                <c:pt idx="3">
                  <c:v>Stay at Home</c:v>
                </c:pt>
                <c:pt idx="4">
                  <c:v>Other</c:v>
                </c:pt>
              </c:strCache>
            </c:strRef>
          </c:cat>
          <c:val>
            <c:numRef>
              <c:f>zero_score_analytics!$E$36:$E$40</c:f>
              <c:numCache>
                <c:formatCode>0.00%</c:formatCode>
                <c:ptCount val="5"/>
                <c:pt idx="0">
                  <c:v>0.13333333333333333</c:v>
                </c:pt>
                <c:pt idx="1">
                  <c:v>0.26666666666666666</c:v>
                </c:pt>
                <c:pt idx="2">
                  <c:v>0</c:v>
                </c:pt>
                <c:pt idx="3">
                  <c:v>0.2</c:v>
                </c:pt>
                <c:pt idx="4">
                  <c:v>0.4</c:v>
                </c:pt>
              </c:numCache>
            </c:numRef>
          </c:val>
          <c:extLst>
            <c:ext xmlns:c16="http://schemas.microsoft.com/office/drawing/2014/chart" uri="{C3380CC4-5D6E-409C-BE32-E72D297353CC}">
              <c16:uniqueId val="{0000000A-76F2-4AB2-806F-1A843016BA2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Career (Girls/Min)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7C-4BDA-ACB9-7B2206EDD4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7C-4BDA-ACB9-7B2206EDD4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7C-4BDA-ACB9-7B2206EDD4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7C-4BDA-ACB9-7B2206EDD4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7C-4BDA-ACB9-7B2206EDD418}"/>
              </c:ext>
            </c:extLst>
          </c:dPt>
          <c:cat>
            <c:strRef>
              <c:f>zero_score_analytics!$A$36:$A$40</c:f>
              <c:strCache>
                <c:ptCount val="5"/>
                <c:pt idx="0">
                  <c:v>Civil Services</c:v>
                </c:pt>
                <c:pt idx="1">
                  <c:v>Teacher</c:v>
                </c:pt>
                <c:pt idx="2">
                  <c:v>Health Care</c:v>
                </c:pt>
                <c:pt idx="3">
                  <c:v>Stay at Home</c:v>
                </c:pt>
                <c:pt idx="4">
                  <c:v>Other</c:v>
                </c:pt>
              </c:strCache>
            </c:strRef>
          </c:cat>
          <c:val>
            <c:numRef>
              <c:f>zero_score_analytics!$F$36:$F$40</c:f>
              <c:numCache>
                <c:formatCode>0.00%</c:formatCode>
                <c:ptCount val="5"/>
                <c:pt idx="0">
                  <c:v>0.30434782608695654</c:v>
                </c:pt>
                <c:pt idx="1">
                  <c:v>0</c:v>
                </c:pt>
                <c:pt idx="2">
                  <c:v>8.6956521739130432E-2</c:v>
                </c:pt>
                <c:pt idx="3">
                  <c:v>0.2608695652173913</c:v>
                </c:pt>
                <c:pt idx="4">
                  <c:v>0.34782608695652173</c:v>
                </c:pt>
              </c:numCache>
            </c:numRef>
          </c:val>
          <c:extLst>
            <c:ext xmlns:c16="http://schemas.microsoft.com/office/drawing/2014/chart" uri="{C3380CC4-5D6E-409C-BE32-E72D297353CC}">
              <c16:uniqueId val="{0000000A-077C-4BDA-ACB9-7B2206EDD4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Career (Boys/Median)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57-496D-AB5D-D24588B211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57-496D-AB5D-D24588B211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57-496D-AB5D-D24588B211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57-496D-AB5D-D24588B211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57-496D-AB5D-D24588B211A5}"/>
              </c:ext>
            </c:extLst>
          </c:dPt>
          <c:cat>
            <c:strRef>
              <c:f>median_score_analytics!$A$36:$A$40</c:f>
              <c:strCache>
                <c:ptCount val="5"/>
                <c:pt idx="0">
                  <c:v>Civil Services</c:v>
                </c:pt>
                <c:pt idx="1">
                  <c:v>Teacher</c:v>
                </c:pt>
                <c:pt idx="2">
                  <c:v>Health Care</c:v>
                </c:pt>
                <c:pt idx="3">
                  <c:v>Stay at Home</c:v>
                </c:pt>
                <c:pt idx="4">
                  <c:v>Other</c:v>
                </c:pt>
              </c:strCache>
            </c:strRef>
          </c:cat>
          <c:val>
            <c:numRef>
              <c:f>median_score_analytics!$E$36:$E$40</c:f>
              <c:numCache>
                <c:formatCode>0.00%</c:formatCode>
                <c:ptCount val="5"/>
                <c:pt idx="0">
                  <c:v>0.33333333333333331</c:v>
                </c:pt>
                <c:pt idx="1">
                  <c:v>0.16666666666666666</c:v>
                </c:pt>
                <c:pt idx="2">
                  <c:v>5.5555555555555552E-2</c:v>
                </c:pt>
                <c:pt idx="3">
                  <c:v>0</c:v>
                </c:pt>
                <c:pt idx="4">
                  <c:v>0.44444444444444442</c:v>
                </c:pt>
              </c:numCache>
            </c:numRef>
          </c:val>
          <c:extLst>
            <c:ext xmlns:c16="http://schemas.microsoft.com/office/drawing/2014/chart" uri="{C3380CC4-5D6E-409C-BE32-E72D297353CC}">
              <c16:uniqueId val="{0000000A-0457-496D-AB5D-D24588B211A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Career (Girls/Median)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60-40DC-A554-F7FEE510AD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60-40DC-A554-F7FEE510AD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60-40DC-A554-F7FEE510AD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60-40DC-A554-F7FEE510AD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60-40DC-A554-F7FEE510ADFD}"/>
              </c:ext>
            </c:extLst>
          </c:dPt>
          <c:cat>
            <c:strRef>
              <c:f>median_score_analytics!$A$36:$A$40</c:f>
              <c:strCache>
                <c:ptCount val="5"/>
                <c:pt idx="0">
                  <c:v>Civil Services</c:v>
                </c:pt>
                <c:pt idx="1">
                  <c:v>Teacher</c:v>
                </c:pt>
                <c:pt idx="2">
                  <c:v>Health Care</c:v>
                </c:pt>
                <c:pt idx="3">
                  <c:v>Stay at Home</c:v>
                </c:pt>
                <c:pt idx="4">
                  <c:v>Other</c:v>
                </c:pt>
              </c:strCache>
            </c:strRef>
          </c:cat>
          <c:val>
            <c:numRef>
              <c:f>median_score_analytics!$F$36:$F$40</c:f>
              <c:numCache>
                <c:formatCode>0.00%</c:formatCode>
                <c:ptCount val="5"/>
                <c:pt idx="0">
                  <c:v>0.34482758620689657</c:v>
                </c:pt>
                <c:pt idx="1">
                  <c:v>0.10344827586206896</c:v>
                </c:pt>
                <c:pt idx="2">
                  <c:v>6.8965517241379309E-2</c:v>
                </c:pt>
                <c:pt idx="3">
                  <c:v>6.8965517241379309E-2</c:v>
                </c:pt>
                <c:pt idx="4">
                  <c:v>0.41379310344827586</c:v>
                </c:pt>
              </c:numCache>
            </c:numRef>
          </c:val>
          <c:extLst>
            <c:ext xmlns:c16="http://schemas.microsoft.com/office/drawing/2014/chart" uri="{C3380CC4-5D6E-409C-BE32-E72D297353CC}">
              <c16:uniqueId val="{0000000A-FC60-40DC-A554-F7FEE510AD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Father's Education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82-4BD6-AB34-AA7FA3EAC5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82-4BD6-AB34-AA7FA3EAC5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82-4BD6-AB34-AA7FA3EAC5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82-4BD6-AB34-AA7FA3EAC5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82-4BD6-AB34-AA7FA3EAC503}"/>
              </c:ext>
            </c:extLst>
          </c:dPt>
          <c:cat>
            <c:strRef>
              <c:f>general_analytics!$A$51:$A$55</c:f>
              <c:strCache>
                <c:ptCount val="5"/>
                <c:pt idx="0">
                  <c:v>Primary Ed. </c:v>
                </c:pt>
                <c:pt idx="1">
                  <c:v>5th to 9th</c:v>
                </c:pt>
                <c:pt idx="2">
                  <c:v>Secondary Ed.</c:v>
                </c:pt>
                <c:pt idx="3">
                  <c:v>Higher Ed.</c:v>
                </c:pt>
                <c:pt idx="4">
                  <c:v>No Ed.</c:v>
                </c:pt>
              </c:strCache>
            </c:strRef>
          </c:cat>
          <c:val>
            <c:numRef>
              <c:f>general_analytics!$F$51:$F$55</c:f>
              <c:numCache>
                <c:formatCode>0.00%</c:formatCode>
                <c:ptCount val="5"/>
                <c:pt idx="0">
                  <c:v>0.23080000000000001</c:v>
                </c:pt>
                <c:pt idx="1">
                  <c:v>0.28849999999999998</c:v>
                </c:pt>
                <c:pt idx="2">
                  <c:v>0.2452</c:v>
                </c:pt>
                <c:pt idx="3">
                  <c:v>0.2356</c:v>
                </c:pt>
                <c:pt idx="4">
                  <c:v>0</c:v>
                </c:pt>
              </c:numCache>
            </c:numRef>
          </c:val>
          <c:extLst>
            <c:ext xmlns:c16="http://schemas.microsoft.com/office/drawing/2014/chart" uri="{C3380CC4-5D6E-409C-BE32-E72D297353CC}">
              <c16:uniqueId val="{00000001-BB9A-45CC-84B2-4845907E02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After School Activities (Boys/Min)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70-445C-AF4C-84A103A8D9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70-445C-AF4C-84A103A8D98F}"/>
              </c:ext>
            </c:extLst>
          </c:dPt>
          <c:cat>
            <c:strRef>
              <c:f>zero_score_analytics!$A$91:$A$92</c:f>
              <c:strCache>
                <c:ptCount val="2"/>
                <c:pt idx="0">
                  <c:v>Extracurricular</c:v>
                </c:pt>
                <c:pt idx="1">
                  <c:v>No Extracurricular</c:v>
                </c:pt>
              </c:strCache>
            </c:strRef>
          </c:cat>
          <c:val>
            <c:numRef>
              <c:f>zero_score_analytics!$E$91:$E$92</c:f>
              <c:numCache>
                <c:formatCode>0.00%</c:formatCode>
                <c:ptCount val="2"/>
                <c:pt idx="0">
                  <c:v>0.4</c:v>
                </c:pt>
                <c:pt idx="1">
                  <c:v>0.6</c:v>
                </c:pt>
              </c:numCache>
            </c:numRef>
          </c:val>
          <c:extLst>
            <c:ext xmlns:c16="http://schemas.microsoft.com/office/drawing/2014/chart" uri="{C3380CC4-5D6E-409C-BE32-E72D297353CC}">
              <c16:uniqueId val="{00000004-EF70-445C-AF4C-84A103A8D98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After School Activities (Girls)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C2-4670-A54C-9A68AC8DAC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C2-4670-A54C-9A68AC8DAC7A}"/>
              </c:ext>
            </c:extLst>
          </c:dPt>
          <c:cat>
            <c:strRef>
              <c:f>zero_score_analytics!$A$91:$A$92</c:f>
              <c:strCache>
                <c:ptCount val="2"/>
                <c:pt idx="0">
                  <c:v>Extracurricular</c:v>
                </c:pt>
                <c:pt idx="1">
                  <c:v>No Extracurricular</c:v>
                </c:pt>
              </c:strCache>
            </c:strRef>
          </c:cat>
          <c:val>
            <c:numRef>
              <c:f>zero_score_analytics!$F$91:$F$92</c:f>
              <c:numCache>
                <c:formatCode>0.00%</c:formatCode>
                <c:ptCount val="2"/>
                <c:pt idx="0">
                  <c:v>0.65217391304347827</c:v>
                </c:pt>
                <c:pt idx="1">
                  <c:v>0.34782608695652173</c:v>
                </c:pt>
              </c:numCache>
            </c:numRef>
          </c:val>
          <c:extLst>
            <c:ext xmlns:c16="http://schemas.microsoft.com/office/drawing/2014/chart" uri="{C3380CC4-5D6E-409C-BE32-E72D297353CC}">
              <c16:uniqueId val="{00000004-3EC2-4670-A54C-9A68AC8DAC7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After School Activities (Boys/Median)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1A-47F9-8115-4A2AB4C804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1A-47F9-8115-4A2AB4C804FC}"/>
              </c:ext>
            </c:extLst>
          </c:dPt>
          <c:cat>
            <c:strRef>
              <c:f>median_score_analytics!$A$91:$A$92</c:f>
              <c:strCache>
                <c:ptCount val="2"/>
                <c:pt idx="0">
                  <c:v>Extracurricular</c:v>
                </c:pt>
                <c:pt idx="1">
                  <c:v>No Extracurricular</c:v>
                </c:pt>
              </c:strCache>
            </c:strRef>
          </c:cat>
          <c:val>
            <c:numRef>
              <c:f>median_score_analytics!$E$91:$E$92</c:f>
              <c:numCache>
                <c:formatCode>0.00%</c:formatCode>
                <c:ptCount val="2"/>
                <c:pt idx="0">
                  <c:v>0.5</c:v>
                </c:pt>
                <c:pt idx="1">
                  <c:v>0.5</c:v>
                </c:pt>
              </c:numCache>
            </c:numRef>
          </c:val>
          <c:extLst>
            <c:ext xmlns:c16="http://schemas.microsoft.com/office/drawing/2014/chart" uri="{C3380CC4-5D6E-409C-BE32-E72D297353CC}">
              <c16:uniqueId val="{00000004-521A-47F9-8115-4A2AB4C804F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After School Activities (Girls/Median)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83-42A9-9DEA-F1A3A6F154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83-42A9-9DEA-F1A3A6F15474}"/>
              </c:ext>
            </c:extLst>
          </c:dPt>
          <c:cat>
            <c:strRef>
              <c:f>median_score_analytics!$A$91:$A$92</c:f>
              <c:strCache>
                <c:ptCount val="2"/>
                <c:pt idx="0">
                  <c:v>Extracurricular</c:v>
                </c:pt>
                <c:pt idx="1">
                  <c:v>No Extracurricular</c:v>
                </c:pt>
              </c:strCache>
            </c:strRef>
          </c:cat>
          <c:val>
            <c:numRef>
              <c:f>median_score_analytics!$F$91:$F$92</c:f>
              <c:numCache>
                <c:formatCode>0.00%</c:formatCode>
                <c:ptCount val="2"/>
                <c:pt idx="0">
                  <c:v>0.48275862068965519</c:v>
                </c:pt>
                <c:pt idx="1">
                  <c:v>0.51724137931034486</c:v>
                </c:pt>
              </c:numCache>
            </c:numRef>
          </c:val>
          <c:extLst>
            <c:ext xmlns:c16="http://schemas.microsoft.com/office/drawing/2014/chart" uri="{C3380CC4-5D6E-409C-BE32-E72D297353CC}">
              <c16:uniqueId val="{00000004-3B83-42A9-9DEA-F1A3A6F1547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Relationships (Boys/Min)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8F-4665-8B27-510243C158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8F-4665-8B27-510243C158E7}"/>
              </c:ext>
            </c:extLst>
          </c:dPt>
          <c:cat>
            <c:strRef>
              <c:f>zero_score_analytics!$A$97:$A$98</c:f>
              <c:strCache>
                <c:ptCount val="2"/>
                <c:pt idx="0">
                  <c:v>Dating</c:v>
                </c:pt>
                <c:pt idx="1">
                  <c:v>No Dating</c:v>
                </c:pt>
              </c:strCache>
            </c:strRef>
          </c:cat>
          <c:val>
            <c:numRef>
              <c:f>zero_score_analytics!$E$97:$E$98</c:f>
              <c:numCache>
                <c:formatCode>0.00%</c:formatCode>
                <c:ptCount val="2"/>
                <c:pt idx="0">
                  <c:v>0.33333333333333331</c:v>
                </c:pt>
                <c:pt idx="1">
                  <c:v>0.66666666666666663</c:v>
                </c:pt>
              </c:numCache>
            </c:numRef>
          </c:val>
          <c:extLst>
            <c:ext xmlns:c16="http://schemas.microsoft.com/office/drawing/2014/chart" uri="{C3380CC4-5D6E-409C-BE32-E72D297353CC}">
              <c16:uniqueId val="{00000004-E18F-4665-8B27-510243C158E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Relationships (Girls/Min)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68-4CD4-8238-EAF9D0DB7D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68-4CD4-8238-EAF9D0DB7DAE}"/>
              </c:ext>
            </c:extLst>
          </c:dPt>
          <c:cat>
            <c:strRef>
              <c:f>zero_score_analytics!$A$97:$A$98</c:f>
              <c:strCache>
                <c:ptCount val="2"/>
                <c:pt idx="0">
                  <c:v>Dating</c:v>
                </c:pt>
                <c:pt idx="1">
                  <c:v>No Dating</c:v>
                </c:pt>
              </c:strCache>
            </c:strRef>
          </c:cat>
          <c:val>
            <c:numRef>
              <c:f>zero_score_analytics!$F$97:$F$98</c:f>
              <c:numCache>
                <c:formatCode>0.00%</c:formatCode>
                <c:ptCount val="2"/>
                <c:pt idx="0">
                  <c:v>0.65217391304347827</c:v>
                </c:pt>
                <c:pt idx="1">
                  <c:v>0.34782608695652173</c:v>
                </c:pt>
              </c:numCache>
            </c:numRef>
          </c:val>
          <c:extLst>
            <c:ext xmlns:c16="http://schemas.microsoft.com/office/drawing/2014/chart" uri="{C3380CC4-5D6E-409C-BE32-E72D297353CC}">
              <c16:uniqueId val="{00000004-FF68-4CD4-8238-EAF9D0DB7DA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Status (Boys/Median)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A8-41F3-8FB6-2BDB159018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A8-41F3-8FB6-2BDB15901843}"/>
              </c:ext>
            </c:extLst>
          </c:dPt>
          <c:cat>
            <c:strRef>
              <c:f>median_score_analytics!$A$97:$A$98</c:f>
              <c:strCache>
                <c:ptCount val="2"/>
                <c:pt idx="0">
                  <c:v>Dating</c:v>
                </c:pt>
                <c:pt idx="1">
                  <c:v>No Dating</c:v>
                </c:pt>
              </c:strCache>
            </c:strRef>
          </c:cat>
          <c:val>
            <c:numRef>
              <c:f>median_score_analytics!$E$97:$E$98</c:f>
              <c:numCache>
                <c:formatCode>0.00%</c:formatCode>
                <c:ptCount val="2"/>
                <c:pt idx="0">
                  <c:v>0.33333333333333331</c:v>
                </c:pt>
                <c:pt idx="1">
                  <c:v>0.66666666666666663</c:v>
                </c:pt>
              </c:numCache>
            </c:numRef>
          </c:val>
          <c:extLst>
            <c:ext xmlns:c16="http://schemas.microsoft.com/office/drawing/2014/chart" uri="{C3380CC4-5D6E-409C-BE32-E72D297353CC}">
              <c16:uniqueId val="{00000004-14A8-41F3-8FB6-2BDB1590184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Relationship Status (Girls/Median)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6C-442A-80ED-D1ED438A00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6C-442A-80ED-D1ED438A00A0}"/>
              </c:ext>
            </c:extLst>
          </c:dPt>
          <c:cat>
            <c:strRef>
              <c:f>median_score_analytics!$A$97:$A$98</c:f>
              <c:strCache>
                <c:ptCount val="2"/>
                <c:pt idx="0">
                  <c:v>Dating</c:v>
                </c:pt>
                <c:pt idx="1">
                  <c:v>No Dating</c:v>
                </c:pt>
              </c:strCache>
            </c:strRef>
          </c:cat>
          <c:val>
            <c:numRef>
              <c:f>median_score_analytics!$F$97:$F$98</c:f>
              <c:numCache>
                <c:formatCode>0.00%</c:formatCode>
                <c:ptCount val="2"/>
                <c:pt idx="0">
                  <c:v>0.37931034482758619</c:v>
                </c:pt>
                <c:pt idx="1">
                  <c:v>0.62068965517241381</c:v>
                </c:pt>
              </c:numCache>
            </c:numRef>
          </c:val>
          <c:extLst>
            <c:ext xmlns:c16="http://schemas.microsoft.com/office/drawing/2014/chart" uri="{C3380CC4-5D6E-409C-BE32-E72D297353CC}">
              <c16:uniqueId val="{00000004-D06C-442A-80ED-D1ED438A00A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Mother's Education (Boys)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2B-497A-A4C7-1BD328ACED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2B-497A-A4C7-1BD328ACED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2B-497A-A4C7-1BD328ACED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2B-497A-A4C7-1BD328ACED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2B-497A-A4C7-1BD328ACED9E}"/>
              </c:ext>
            </c:extLst>
          </c:dPt>
          <c:cat>
            <c:strRef>
              <c:f>general_analytics!$A$66:$A$70</c:f>
              <c:strCache>
                <c:ptCount val="5"/>
                <c:pt idx="0">
                  <c:v>Primary Ed. </c:v>
                </c:pt>
                <c:pt idx="1">
                  <c:v>5th to 9th</c:v>
                </c:pt>
                <c:pt idx="2">
                  <c:v>Secondary Ed.</c:v>
                </c:pt>
                <c:pt idx="3">
                  <c:v>Higher Ed.</c:v>
                </c:pt>
                <c:pt idx="4">
                  <c:v>No Ed.</c:v>
                </c:pt>
              </c:strCache>
            </c:strRef>
          </c:cat>
          <c:val>
            <c:numRef>
              <c:f>general_analytics!$E$66:$E$70</c:f>
              <c:numCache>
                <c:formatCode>0.00%</c:formatCode>
                <c:ptCount val="5"/>
                <c:pt idx="0">
                  <c:v>0.1444</c:v>
                </c:pt>
                <c:pt idx="1">
                  <c:v>0.22989999999999999</c:v>
                </c:pt>
                <c:pt idx="2">
                  <c:v>0.246</c:v>
                </c:pt>
                <c:pt idx="3">
                  <c:v>0.37430000000000002</c:v>
                </c:pt>
                <c:pt idx="4">
                  <c:v>5.3E-3</c:v>
                </c:pt>
              </c:numCache>
            </c:numRef>
          </c:val>
          <c:extLst>
            <c:ext xmlns:c16="http://schemas.microsoft.com/office/drawing/2014/chart" uri="{C3380CC4-5D6E-409C-BE32-E72D297353CC}">
              <c16:uniqueId val="{00000001-D650-4551-8FF8-99CC3C2F0E4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10" Type="http://schemas.openxmlformats.org/officeDocument/2006/relationships/chart" Target="../charts/chart31.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7.xml"/><Relationship Id="rId13" Type="http://schemas.openxmlformats.org/officeDocument/2006/relationships/chart" Target="../charts/chart52.xml"/><Relationship Id="rId18" Type="http://schemas.openxmlformats.org/officeDocument/2006/relationships/chart" Target="../charts/chart57.xml"/><Relationship Id="rId3" Type="http://schemas.openxmlformats.org/officeDocument/2006/relationships/chart" Target="../charts/chart42.xml"/><Relationship Id="rId7" Type="http://schemas.openxmlformats.org/officeDocument/2006/relationships/chart" Target="../charts/chart46.xml"/><Relationship Id="rId12" Type="http://schemas.openxmlformats.org/officeDocument/2006/relationships/chart" Target="../charts/chart51.xml"/><Relationship Id="rId17" Type="http://schemas.openxmlformats.org/officeDocument/2006/relationships/chart" Target="../charts/chart56.xml"/><Relationship Id="rId2" Type="http://schemas.openxmlformats.org/officeDocument/2006/relationships/chart" Target="../charts/chart41.xml"/><Relationship Id="rId16" Type="http://schemas.openxmlformats.org/officeDocument/2006/relationships/chart" Target="../charts/chart55.xml"/><Relationship Id="rId20" Type="http://schemas.openxmlformats.org/officeDocument/2006/relationships/chart" Target="../charts/chart59.xml"/><Relationship Id="rId1" Type="http://schemas.openxmlformats.org/officeDocument/2006/relationships/chart" Target="../charts/chart40.xml"/><Relationship Id="rId6" Type="http://schemas.openxmlformats.org/officeDocument/2006/relationships/chart" Target="../charts/chart45.xml"/><Relationship Id="rId11" Type="http://schemas.openxmlformats.org/officeDocument/2006/relationships/chart" Target="../charts/chart50.xml"/><Relationship Id="rId5" Type="http://schemas.openxmlformats.org/officeDocument/2006/relationships/chart" Target="../charts/chart44.xml"/><Relationship Id="rId15" Type="http://schemas.openxmlformats.org/officeDocument/2006/relationships/chart" Target="../charts/chart54.xml"/><Relationship Id="rId10" Type="http://schemas.openxmlformats.org/officeDocument/2006/relationships/chart" Target="../charts/chart49.xml"/><Relationship Id="rId19" Type="http://schemas.openxmlformats.org/officeDocument/2006/relationships/chart" Target="../charts/chart58.xml"/><Relationship Id="rId4" Type="http://schemas.openxmlformats.org/officeDocument/2006/relationships/chart" Target="../charts/chart43.xml"/><Relationship Id="rId9" Type="http://schemas.openxmlformats.org/officeDocument/2006/relationships/chart" Target="../charts/chart48.xml"/><Relationship Id="rId14" Type="http://schemas.openxmlformats.org/officeDocument/2006/relationships/chart" Target="../charts/chart5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67.xml"/><Relationship Id="rId13" Type="http://schemas.openxmlformats.org/officeDocument/2006/relationships/chart" Target="../charts/chart72.xml"/><Relationship Id="rId18" Type="http://schemas.openxmlformats.org/officeDocument/2006/relationships/chart" Target="../charts/chart77.xml"/><Relationship Id="rId26" Type="http://schemas.openxmlformats.org/officeDocument/2006/relationships/chart" Target="../charts/chart85.xml"/><Relationship Id="rId3" Type="http://schemas.openxmlformats.org/officeDocument/2006/relationships/chart" Target="../charts/chart62.xml"/><Relationship Id="rId21" Type="http://schemas.openxmlformats.org/officeDocument/2006/relationships/chart" Target="../charts/chart80.xml"/><Relationship Id="rId7" Type="http://schemas.openxmlformats.org/officeDocument/2006/relationships/chart" Target="../charts/chart66.xml"/><Relationship Id="rId12" Type="http://schemas.openxmlformats.org/officeDocument/2006/relationships/chart" Target="../charts/chart71.xml"/><Relationship Id="rId17" Type="http://schemas.openxmlformats.org/officeDocument/2006/relationships/chart" Target="../charts/chart76.xml"/><Relationship Id="rId25" Type="http://schemas.openxmlformats.org/officeDocument/2006/relationships/chart" Target="../charts/chart84.xml"/><Relationship Id="rId2" Type="http://schemas.openxmlformats.org/officeDocument/2006/relationships/chart" Target="../charts/chart61.xml"/><Relationship Id="rId16" Type="http://schemas.openxmlformats.org/officeDocument/2006/relationships/chart" Target="../charts/chart75.xml"/><Relationship Id="rId20" Type="http://schemas.openxmlformats.org/officeDocument/2006/relationships/chart" Target="../charts/chart79.xml"/><Relationship Id="rId1" Type="http://schemas.openxmlformats.org/officeDocument/2006/relationships/chart" Target="../charts/chart60.xml"/><Relationship Id="rId6" Type="http://schemas.openxmlformats.org/officeDocument/2006/relationships/chart" Target="../charts/chart65.xml"/><Relationship Id="rId11" Type="http://schemas.openxmlformats.org/officeDocument/2006/relationships/chart" Target="../charts/chart70.xml"/><Relationship Id="rId24" Type="http://schemas.openxmlformats.org/officeDocument/2006/relationships/chart" Target="../charts/chart83.xml"/><Relationship Id="rId5" Type="http://schemas.openxmlformats.org/officeDocument/2006/relationships/chart" Target="../charts/chart64.xml"/><Relationship Id="rId15" Type="http://schemas.openxmlformats.org/officeDocument/2006/relationships/chart" Target="../charts/chart74.xml"/><Relationship Id="rId23" Type="http://schemas.openxmlformats.org/officeDocument/2006/relationships/chart" Target="../charts/chart82.xml"/><Relationship Id="rId28" Type="http://schemas.openxmlformats.org/officeDocument/2006/relationships/chart" Target="../charts/chart87.xml"/><Relationship Id="rId10" Type="http://schemas.openxmlformats.org/officeDocument/2006/relationships/chart" Target="../charts/chart69.xml"/><Relationship Id="rId19" Type="http://schemas.openxmlformats.org/officeDocument/2006/relationships/chart" Target="../charts/chart78.xml"/><Relationship Id="rId4" Type="http://schemas.openxmlformats.org/officeDocument/2006/relationships/chart" Target="../charts/chart63.xml"/><Relationship Id="rId9" Type="http://schemas.openxmlformats.org/officeDocument/2006/relationships/chart" Target="../charts/chart68.xml"/><Relationship Id="rId14" Type="http://schemas.openxmlformats.org/officeDocument/2006/relationships/chart" Target="../charts/chart73.xml"/><Relationship Id="rId22" Type="http://schemas.openxmlformats.org/officeDocument/2006/relationships/chart" Target="../charts/chart81.xml"/><Relationship Id="rId27"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7</xdr:col>
      <xdr:colOff>47625</xdr:colOff>
      <xdr:row>3</xdr:row>
      <xdr:rowOff>171450</xdr:rowOff>
    </xdr:from>
    <xdr:to>
      <xdr:col>14</xdr:col>
      <xdr:colOff>352425</xdr:colOff>
      <xdr:row>18</xdr:row>
      <xdr:rowOff>57150</xdr:rowOff>
    </xdr:to>
    <xdr:graphicFrame macro="">
      <xdr:nvGraphicFramePr>
        <xdr:cNvPr id="39" name="Chart 1">
          <a:extLst>
            <a:ext uri="{FF2B5EF4-FFF2-40B4-BE49-F238E27FC236}">
              <a16:creationId xmlns:a16="http://schemas.microsoft.com/office/drawing/2014/main" id="{53AA9334-7DB8-0FE1-9DB3-EC88E4A88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447675</xdr:colOff>
      <xdr:row>3</xdr:row>
      <xdr:rowOff>152400</xdr:rowOff>
    </xdr:from>
    <xdr:to>
      <xdr:col>22</xdr:col>
      <xdr:colOff>142875</xdr:colOff>
      <xdr:row>18</xdr:row>
      <xdr:rowOff>38100</xdr:rowOff>
    </xdr:to>
    <xdr:graphicFrame macro="">
      <xdr:nvGraphicFramePr>
        <xdr:cNvPr id="38" name="Chart 2">
          <a:extLst>
            <a:ext uri="{FF2B5EF4-FFF2-40B4-BE49-F238E27FC236}">
              <a16:creationId xmlns:a16="http://schemas.microsoft.com/office/drawing/2014/main" id="{16A175F8-B485-BB41-0C72-05692A51D1FB}"/>
            </a:ext>
            <a:ext uri="{147F2762-F138-4A5C-976F-8EAC2B608ADB}">
              <a16:predDERef xmlns:a16="http://schemas.microsoft.com/office/drawing/2014/main" pred="{53AA9334-7DB8-0FE1-9DB3-EC88E4A88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18</xdr:row>
      <xdr:rowOff>171450</xdr:rowOff>
    </xdr:from>
    <xdr:to>
      <xdr:col>14</xdr:col>
      <xdr:colOff>352425</xdr:colOff>
      <xdr:row>33</xdr:row>
      <xdr:rowOff>57150</xdr:rowOff>
    </xdr:to>
    <xdr:graphicFrame macro="">
      <xdr:nvGraphicFramePr>
        <xdr:cNvPr id="4" name="Chart 3">
          <a:extLst>
            <a:ext uri="{FF2B5EF4-FFF2-40B4-BE49-F238E27FC236}">
              <a16:creationId xmlns:a16="http://schemas.microsoft.com/office/drawing/2014/main" id="{63EA9913-8D94-E8F4-E9AE-2455AB28A1E8}"/>
            </a:ext>
            <a:ext uri="{147F2762-F138-4A5C-976F-8EAC2B608ADB}">
              <a16:predDERef xmlns:a16="http://schemas.microsoft.com/office/drawing/2014/main" pred="{16A175F8-B485-BB41-0C72-05692A51D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466725</xdr:colOff>
      <xdr:row>18</xdr:row>
      <xdr:rowOff>180975</xdr:rowOff>
    </xdr:from>
    <xdr:to>
      <xdr:col>22</xdr:col>
      <xdr:colOff>161925</xdr:colOff>
      <xdr:row>33</xdr:row>
      <xdr:rowOff>66675</xdr:rowOff>
    </xdr:to>
    <xdr:graphicFrame macro="">
      <xdr:nvGraphicFramePr>
        <xdr:cNvPr id="5" name="Chart 4">
          <a:extLst>
            <a:ext uri="{FF2B5EF4-FFF2-40B4-BE49-F238E27FC236}">
              <a16:creationId xmlns:a16="http://schemas.microsoft.com/office/drawing/2014/main" id="{E722D979-9C63-A95D-DDEE-244D13358187}"/>
            </a:ext>
            <a:ext uri="{147F2762-F138-4A5C-976F-8EAC2B608ADB}">
              <a16:predDERef xmlns:a16="http://schemas.microsoft.com/office/drawing/2014/main" pred="{63EA9913-8D94-E8F4-E9AE-2455AB28A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66675</xdr:colOff>
      <xdr:row>33</xdr:row>
      <xdr:rowOff>152400</xdr:rowOff>
    </xdr:from>
    <xdr:to>
      <xdr:col>14</xdr:col>
      <xdr:colOff>371475</xdr:colOff>
      <xdr:row>48</xdr:row>
      <xdr:rowOff>38100</xdr:rowOff>
    </xdr:to>
    <xdr:graphicFrame macro="">
      <xdr:nvGraphicFramePr>
        <xdr:cNvPr id="6" name="Chart 5">
          <a:extLst>
            <a:ext uri="{FF2B5EF4-FFF2-40B4-BE49-F238E27FC236}">
              <a16:creationId xmlns:a16="http://schemas.microsoft.com/office/drawing/2014/main" id="{C93AC9E9-D38A-9E08-EE19-94FBE890411F}"/>
            </a:ext>
            <a:ext uri="{147F2762-F138-4A5C-976F-8EAC2B608ADB}">
              <a16:predDERef xmlns:a16="http://schemas.microsoft.com/office/drawing/2014/main" pred="{E722D979-9C63-A95D-DDEE-244D13358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476250</xdr:colOff>
      <xdr:row>33</xdr:row>
      <xdr:rowOff>142875</xdr:rowOff>
    </xdr:from>
    <xdr:to>
      <xdr:col>22</xdr:col>
      <xdr:colOff>171450</xdr:colOff>
      <xdr:row>48</xdr:row>
      <xdr:rowOff>28575</xdr:rowOff>
    </xdr:to>
    <xdr:graphicFrame macro="">
      <xdr:nvGraphicFramePr>
        <xdr:cNvPr id="7" name="Chart 6">
          <a:extLst>
            <a:ext uri="{FF2B5EF4-FFF2-40B4-BE49-F238E27FC236}">
              <a16:creationId xmlns:a16="http://schemas.microsoft.com/office/drawing/2014/main" id="{D2CEC7C6-46A3-BE8D-FE8F-766F32D4BD0A}"/>
            </a:ext>
            <a:ext uri="{147F2762-F138-4A5C-976F-8EAC2B608ADB}">
              <a16:predDERef xmlns:a16="http://schemas.microsoft.com/office/drawing/2014/main" pred="{C93AC9E9-D38A-9E08-EE19-94FBE8904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76200</xdr:colOff>
      <xdr:row>48</xdr:row>
      <xdr:rowOff>171450</xdr:rowOff>
    </xdr:from>
    <xdr:to>
      <xdr:col>14</xdr:col>
      <xdr:colOff>381000</xdr:colOff>
      <xdr:row>63</xdr:row>
      <xdr:rowOff>57150</xdr:rowOff>
    </xdr:to>
    <xdr:graphicFrame macro="">
      <xdr:nvGraphicFramePr>
        <xdr:cNvPr id="8" name="Chart 7">
          <a:extLst>
            <a:ext uri="{FF2B5EF4-FFF2-40B4-BE49-F238E27FC236}">
              <a16:creationId xmlns:a16="http://schemas.microsoft.com/office/drawing/2014/main" id="{9B7AD15F-8B06-0DEE-8F52-AE3EF9254AC5}"/>
            </a:ext>
            <a:ext uri="{147F2762-F138-4A5C-976F-8EAC2B608ADB}">
              <a16:predDERef xmlns:a16="http://schemas.microsoft.com/office/drawing/2014/main" pred="{D2CEC7C6-46A3-BE8D-FE8F-766F32D4B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495300</xdr:colOff>
      <xdr:row>48</xdr:row>
      <xdr:rowOff>171450</xdr:rowOff>
    </xdr:from>
    <xdr:to>
      <xdr:col>22</xdr:col>
      <xdr:colOff>190500</xdr:colOff>
      <xdr:row>63</xdr:row>
      <xdr:rowOff>57150</xdr:rowOff>
    </xdr:to>
    <xdr:graphicFrame macro="">
      <xdr:nvGraphicFramePr>
        <xdr:cNvPr id="9" name="Chart 8">
          <a:extLst>
            <a:ext uri="{FF2B5EF4-FFF2-40B4-BE49-F238E27FC236}">
              <a16:creationId xmlns:a16="http://schemas.microsoft.com/office/drawing/2014/main" id="{2A5F628B-9A85-1802-1C12-E0AB2E7EDC2E}"/>
            </a:ext>
            <a:ext uri="{147F2762-F138-4A5C-976F-8EAC2B608ADB}">
              <a16:predDERef xmlns:a16="http://schemas.microsoft.com/office/drawing/2014/main" pred="{9B7AD15F-8B06-0DEE-8F52-AE3EF9254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76200</xdr:colOff>
      <xdr:row>63</xdr:row>
      <xdr:rowOff>180975</xdr:rowOff>
    </xdr:from>
    <xdr:to>
      <xdr:col>14</xdr:col>
      <xdr:colOff>381000</xdr:colOff>
      <xdr:row>78</xdr:row>
      <xdr:rowOff>66675</xdr:rowOff>
    </xdr:to>
    <xdr:graphicFrame macro="">
      <xdr:nvGraphicFramePr>
        <xdr:cNvPr id="10" name="Chart 9">
          <a:extLst>
            <a:ext uri="{FF2B5EF4-FFF2-40B4-BE49-F238E27FC236}">
              <a16:creationId xmlns:a16="http://schemas.microsoft.com/office/drawing/2014/main" id="{256443BB-2FBF-EDC0-028D-7C1E887DF40A}"/>
            </a:ext>
            <a:ext uri="{147F2762-F138-4A5C-976F-8EAC2B608ADB}">
              <a16:predDERef xmlns:a16="http://schemas.microsoft.com/office/drawing/2014/main" pred="{2A5F628B-9A85-1802-1C12-E0AB2E7ED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504825</xdr:colOff>
      <xdr:row>63</xdr:row>
      <xdr:rowOff>180975</xdr:rowOff>
    </xdr:from>
    <xdr:to>
      <xdr:col>22</xdr:col>
      <xdr:colOff>200025</xdr:colOff>
      <xdr:row>78</xdr:row>
      <xdr:rowOff>66675</xdr:rowOff>
    </xdr:to>
    <xdr:graphicFrame macro="">
      <xdr:nvGraphicFramePr>
        <xdr:cNvPr id="11" name="Chart 10">
          <a:extLst>
            <a:ext uri="{FF2B5EF4-FFF2-40B4-BE49-F238E27FC236}">
              <a16:creationId xmlns:a16="http://schemas.microsoft.com/office/drawing/2014/main" id="{92608FBE-E8B4-4407-72CD-411F515856C9}"/>
            </a:ext>
            <a:ext uri="{147F2762-F138-4A5C-976F-8EAC2B608ADB}">
              <a16:predDERef xmlns:a16="http://schemas.microsoft.com/office/drawing/2014/main" pred="{256443BB-2FBF-EDC0-028D-7C1E887DF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161925</xdr:colOff>
      <xdr:row>78</xdr:row>
      <xdr:rowOff>180975</xdr:rowOff>
    </xdr:from>
    <xdr:to>
      <xdr:col>17</xdr:col>
      <xdr:colOff>504825</xdr:colOff>
      <xdr:row>95</xdr:row>
      <xdr:rowOff>180975</xdr:rowOff>
    </xdr:to>
    <xdr:graphicFrame macro="">
      <xdr:nvGraphicFramePr>
        <xdr:cNvPr id="12" name="Chart 11">
          <a:extLst>
            <a:ext uri="{FF2B5EF4-FFF2-40B4-BE49-F238E27FC236}">
              <a16:creationId xmlns:a16="http://schemas.microsoft.com/office/drawing/2014/main" id="{8F22D1D9-C33C-4F76-D979-DD919DCE8A90}"/>
            </a:ext>
            <a:ext uri="{147F2762-F138-4A5C-976F-8EAC2B608ADB}">
              <a16:predDERef xmlns:a16="http://schemas.microsoft.com/office/drawing/2014/main" pred="{92608FBE-E8B4-4407-72CD-411F51585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552450</xdr:colOff>
      <xdr:row>0</xdr:row>
      <xdr:rowOff>0</xdr:rowOff>
    </xdr:from>
    <xdr:to>
      <xdr:col>10</xdr:col>
      <xdr:colOff>447675</xdr:colOff>
      <xdr:row>2</xdr:row>
      <xdr:rowOff>152400</xdr:rowOff>
    </xdr:to>
    <xdr:sp macro="" textlink="">
      <xdr:nvSpPr>
        <xdr:cNvPr id="13" name="TextBox 12">
          <a:extLst>
            <a:ext uri="{FF2B5EF4-FFF2-40B4-BE49-F238E27FC236}">
              <a16:creationId xmlns:a16="http://schemas.microsoft.com/office/drawing/2014/main" id="{6191FC24-6F60-CE9F-7DAB-BB013A88391D}"/>
            </a:ext>
            <a:ext uri="{147F2762-F138-4A5C-976F-8EAC2B608ADB}">
              <a16:predDERef xmlns:a16="http://schemas.microsoft.com/office/drawing/2014/main" pred="{8F22D1D9-C33C-4F76-D979-DD919DCE8A90}"/>
            </a:ext>
          </a:extLst>
        </xdr:cNvPr>
        <xdr:cNvSpPr txBox="1"/>
      </xdr:nvSpPr>
      <xdr:spPr>
        <a:xfrm>
          <a:off x="3238500" y="0"/>
          <a:ext cx="3552825" cy="5334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000" b="0" i="0" u="none" strike="noStrike">
              <a:solidFill>
                <a:srgbClr val="000000"/>
              </a:solidFill>
              <a:latin typeface="Calibri" panose="020F0502020204030204" pitchFamily="34" charset="0"/>
              <a:cs typeface="Calibri" panose="020F0502020204030204" pitchFamily="34" charset="0"/>
            </a:rPr>
            <a:t>General Performance Analytics</a:t>
          </a:r>
        </a:p>
      </xdr:txBody>
    </xdr:sp>
    <xdr:clientData/>
  </xdr:twoCellAnchor>
  <xdr:twoCellAnchor>
    <xdr:from>
      <xdr:col>7</xdr:col>
      <xdr:colOff>57150</xdr:colOff>
      <xdr:row>107</xdr:row>
      <xdr:rowOff>171450</xdr:rowOff>
    </xdr:from>
    <xdr:to>
      <xdr:col>14</xdr:col>
      <xdr:colOff>361950</xdr:colOff>
      <xdr:row>122</xdr:row>
      <xdr:rowOff>57150</xdr:rowOff>
    </xdr:to>
    <xdr:graphicFrame macro="">
      <xdr:nvGraphicFramePr>
        <xdr:cNvPr id="15" name="Chart 14">
          <a:extLst>
            <a:ext uri="{FF2B5EF4-FFF2-40B4-BE49-F238E27FC236}">
              <a16:creationId xmlns:a16="http://schemas.microsoft.com/office/drawing/2014/main" id="{27738D8C-3636-A766-B785-626A633F2BCA}"/>
            </a:ext>
            <a:ext uri="{147F2762-F138-4A5C-976F-8EAC2B608ADB}">
              <a16:predDERef xmlns:a16="http://schemas.microsoft.com/office/drawing/2014/main" pred="{6191FC24-6F60-CE9F-7DAB-BB013A883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476250</xdr:colOff>
      <xdr:row>107</xdr:row>
      <xdr:rowOff>180975</xdr:rowOff>
    </xdr:from>
    <xdr:to>
      <xdr:col>22</xdr:col>
      <xdr:colOff>171450</xdr:colOff>
      <xdr:row>122</xdr:row>
      <xdr:rowOff>66675</xdr:rowOff>
    </xdr:to>
    <xdr:graphicFrame macro="">
      <xdr:nvGraphicFramePr>
        <xdr:cNvPr id="16" name="Chart 15">
          <a:extLst>
            <a:ext uri="{FF2B5EF4-FFF2-40B4-BE49-F238E27FC236}">
              <a16:creationId xmlns:a16="http://schemas.microsoft.com/office/drawing/2014/main" id="{5DBF6B60-4A68-9235-459F-FC1879EF243D}"/>
            </a:ext>
            <a:ext uri="{147F2762-F138-4A5C-976F-8EAC2B608ADB}">
              <a16:predDERef xmlns:a16="http://schemas.microsoft.com/office/drawing/2014/main" pred="{27738D8C-3636-A766-B785-626A633F2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76200</xdr:colOff>
      <xdr:row>122</xdr:row>
      <xdr:rowOff>152400</xdr:rowOff>
    </xdr:from>
    <xdr:to>
      <xdr:col>14</xdr:col>
      <xdr:colOff>381000</xdr:colOff>
      <xdr:row>137</xdr:row>
      <xdr:rowOff>38100</xdr:rowOff>
    </xdr:to>
    <xdr:graphicFrame macro="">
      <xdr:nvGraphicFramePr>
        <xdr:cNvPr id="17" name="Chart 16">
          <a:extLst>
            <a:ext uri="{FF2B5EF4-FFF2-40B4-BE49-F238E27FC236}">
              <a16:creationId xmlns:a16="http://schemas.microsoft.com/office/drawing/2014/main" id="{EFA72520-5F61-8507-DC29-6931137FFAE2}"/>
            </a:ext>
            <a:ext uri="{147F2762-F138-4A5C-976F-8EAC2B608ADB}">
              <a16:predDERef xmlns:a16="http://schemas.microsoft.com/office/drawing/2014/main" pred="{5DBF6B60-4A68-9235-459F-FC1879EF2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476250</xdr:colOff>
      <xdr:row>122</xdr:row>
      <xdr:rowOff>152400</xdr:rowOff>
    </xdr:from>
    <xdr:to>
      <xdr:col>22</xdr:col>
      <xdr:colOff>171450</xdr:colOff>
      <xdr:row>137</xdr:row>
      <xdr:rowOff>38100</xdr:rowOff>
    </xdr:to>
    <xdr:graphicFrame macro="">
      <xdr:nvGraphicFramePr>
        <xdr:cNvPr id="18" name="Chart 17">
          <a:extLst>
            <a:ext uri="{FF2B5EF4-FFF2-40B4-BE49-F238E27FC236}">
              <a16:creationId xmlns:a16="http://schemas.microsoft.com/office/drawing/2014/main" id="{1AEE6232-E5AD-BA76-4A82-2FFDCA3C66B2}"/>
            </a:ext>
            <a:ext uri="{147F2762-F138-4A5C-976F-8EAC2B608ADB}">
              <a16:predDERef xmlns:a16="http://schemas.microsoft.com/office/drawing/2014/main" pred="{EFA72520-5F61-8507-DC29-6931137FF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76200</xdr:colOff>
      <xdr:row>137</xdr:row>
      <xdr:rowOff>142875</xdr:rowOff>
    </xdr:from>
    <xdr:to>
      <xdr:col>14</xdr:col>
      <xdr:colOff>381000</xdr:colOff>
      <xdr:row>152</xdr:row>
      <xdr:rowOff>28575</xdr:rowOff>
    </xdr:to>
    <xdr:graphicFrame macro="">
      <xdr:nvGraphicFramePr>
        <xdr:cNvPr id="19" name="Chart 18">
          <a:extLst>
            <a:ext uri="{FF2B5EF4-FFF2-40B4-BE49-F238E27FC236}">
              <a16:creationId xmlns:a16="http://schemas.microsoft.com/office/drawing/2014/main" id="{7B71FA82-E79F-D5C4-A5B6-69E53F3E85E5}"/>
            </a:ext>
            <a:ext uri="{147F2762-F138-4A5C-976F-8EAC2B608ADB}">
              <a16:predDERef xmlns:a16="http://schemas.microsoft.com/office/drawing/2014/main" pred="{1AEE6232-E5AD-BA76-4A82-2FFDCA3C6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466725</xdr:colOff>
      <xdr:row>137</xdr:row>
      <xdr:rowOff>142875</xdr:rowOff>
    </xdr:from>
    <xdr:to>
      <xdr:col>22</xdr:col>
      <xdr:colOff>161925</xdr:colOff>
      <xdr:row>152</xdr:row>
      <xdr:rowOff>28575</xdr:rowOff>
    </xdr:to>
    <xdr:graphicFrame macro="">
      <xdr:nvGraphicFramePr>
        <xdr:cNvPr id="20" name="Chart 19">
          <a:extLst>
            <a:ext uri="{FF2B5EF4-FFF2-40B4-BE49-F238E27FC236}">
              <a16:creationId xmlns:a16="http://schemas.microsoft.com/office/drawing/2014/main" id="{43381749-BB6B-1899-68D5-F6936D3F814F}"/>
            </a:ext>
            <a:ext uri="{147F2762-F138-4A5C-976F-8EAC2B608ADB}">
              <a16:predDERef xmlns:a16="http://schemas.microsoft.com/office/drawing/2014/main" pred="{7B71FA82-E79F-D5C4-A5B6-69E53F3E8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76200</xdr:colOff>
      <xdr:row>152</xdr:row>
      <xdr:rowOff>123825</xdr:rowOff>
    </xdr:from>
    <xdr:to>
      <xdr:col>14</xdr:col>
      <xdr:colOff>381000</xdr:colOff>
      <xdr:row>167</xdr:row>
      <xdr:rowOff>9525</xdr:rowOff>
    </xdr:to>
    <xdr:graphicFrame macro="">
      <xdr:nvGraphicFramePr>
        <xdr:cNvPr id="21" name="Chart 20">
          <a:extLst>
            <a:ext uri="{FF2B5EF4-FFF2-40B4-BE49-F238E27FC236}">
              <a16:creationId xmlns:a16="http://schemas.microsoft.com/office/drawing/2014/main" id="{A4834F20-CA6C-192D-B1D2-C9CAC19CB375}"/>
            </a:ext>
            <a:ext uri="{147F2762-F138-4A5C-976F-8EAC2B608ADB}">
              <a16:predDERef xmlns:a16="http://schemas.microsoft.com/office/drawing/2014/main" pred="{43381749-BB6B-1899-68D5-F6936D3F8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466725</xdr:colOff>
      <xdr:row>152</xdr:row>
      <xdr:rowOff>161925</xdr:rowOff>
    </xdr:from>
    <xdr:to>
      <xdr:col>22</xdr:col>
      <xdr:colOff>161925</xdr:colOff>
      <xdr:row>167</xdr:row>
      <xdr:rowOff>47625</xdr:rowOff>
    </xdr:to>
    <xdr:graphicFrame macro="">
      <xdr:nvGraphicFramePr>
        <xdr:cNvPr id="22" name="Chart 21">
          <a:extLst>
            <a:ext uri="{FF2B5EF4-FFF2-40B4-BE49-F238E27FC236}">
              <a16:creationId xmlns:a16="http://schemas.microsoft.com/office/drawing/2014/main" id="{3934C4ED-53CA-F128-E16C-8FEBD94990E8}"/>
            </a:ext>
            <a:ext uri="{147F2762-F138-4A5C-976F-8EAC2B608ADB}">
              <a16:predDERef xmlns:a16="http://schemas.microsoft.com/office/drawing/2014/main" pred="{A4834F20-CA6C-192D-B1D2-C9CAC19CB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66675</xdr:colOff>
      <xdr:row>167</xdr:row>
      <xdr:rowOff>85725</xdr:rowOff>
    </xdr:from>
    <xdr:to>
      <xdr:col>14</xdr:col>
      <xdr:colOff>371475</xdr:colOff>
      <xdr:row>181</xdr:row>
      <xdr:rowOff>161925</xdr:rowOff>
    </xdr:to>
    <xdr:graphicFrame macro="">
      <xdr:nvGraphicFramePr>
        <xdr:cNvPr id="28" name="Chart 22">
          <a:extLst>
            <a:ext uri="{FF2B5EF4-FFF2-40B4-BE49-F238E27FC236}">
              <a16:creationId xmlns:a16="http://schemas.microsoft.com/office/drawing/2014/main" id="{ED2AC032-E95E-D7A2-B101-09D7E52A9E4D}"/>
            </a:ext>
            <a:ext uri="{147F2762-F138-4A5C-976F-8EAC2B608ADB}">
              <a16:predDERef xmlns:a16="http://schemas.microsoft.com/office/drawing/2014/main" pred="{3934C4ED-53CA-F128-E16C-8FEBD9499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495300</xdr:colOff>
      <xdr:row>167</xdr:row>
      <xdr:rowOff>95250</xdr:rowOff>
    </xdr:from>
    <xdr:to>
      <xdr:col>22</xdr:col>
      <xdr:colOff>190500</xdr:colOff>
      <xdr:row>181</xdr:row>
      <xdr:rowOff>171450</xdr:rowOff>
    </xdr:to>
    <xdr:graphicFrame macro="">
      <xdr:nvGraphicFramePr>
        <xdr:cNvPr id="40" name="Chart 24">
          <a:extLst>
            <a:ext uri="{FF2B5EF4-FFF2-40B4-BE49-F238E27FC236}">
              <a16:creationId xmlns:a16="http://schemas.microsoft.com/office/drawing/2014/main" id="{597154F3-AB61-3602-7578-86EBA5D4E5C2}"/>
            </a:ext>
            <a:ext uri="{147F2762-F138-4A5C-976F-8EAC2B608ADB}">
              <a16:predDERef xmlns:a16="http://schemas.microsoft.com/office/drawing/2014/main" pred="{ED2AC032-E95E-D7A2-B101-09D7E52A9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22</xdr:col>
      <xdr:colOff>333375</xdr:colOff>
      <xdr:row>3</xdr:row>
      <xdr:rowOff>152400</xdr:rowOff>
    </xdr:from>
    <xdr:to>
      <xdr:col>27</xdr:col>
      <xdr:colOff>590550</xdr:colOff>
      <xdr:row>12</xdr:row>
      <xdr:rowOff>152400</xdr:rowOff>
    </xdr:to>
    <xdr:sp macro="" textlink="">
      <xdr:nvSpPr>
        <xdr:cNvPr id="41" name="TextBox 40">
          <a:extLst>
            <a:ext uri="{FF2B5EF4-FFF2-40B4-BE49-F238E27FC236}">
              <a16:creationId xmlns:a16="http://schemas.microsoft.com/office/drawing/2014/main" id="{3A1A08CA-1BB4-8748-0F91-848F94ECD39F}"/>
            </a:ext>
            <a:ext uri="{147F2762-F138-4A5C-976F-8EAC2B608ADB}">
              <a16:predDERef xmlns:a16="http://schemas.microsoft.com/office/drawing/2014/main" pred="{597154F3-AB61-3602-7578-86EBA5D4E5C2}"/>
            </a:ext>
          </a:extLst>
        </xdr:cNvPr>
        <xdr:cNvSpPr txBox="1"/>
      </xdr:nvSpPr>
      <xdr:spPr>
        <a:xfrm>
          <a:off x="13992225" y="723900"/>
          <a:ext cx="3305175" cy="1714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FF0000"/>
              </a:solidFill>
              <a:latin typeface="Calibri" panose="020F0502020204030204" pitchFamily="34" charset="0"/>
              <a:cs typeface="Calibri" panose="020F0502020204030204" pitchFamily="34" charset="0"/>
            </a:rPr>
            <a:t>Proportionately more boys than girls spent less than 2 hours studying. Almost half of the boys spent less than 2 hours a week studying. Nearly the same amount of boys also spent 2 to 5 hours studying. Then the rest of the 12% of boys spent over 5 hours studying. More than half of the girls spent 2 to 5 hours studying, then almost a quarter spent 5 to 10 hours studying.  Overall, the average girl spent much more time studying than the average boy.  </a:t>
          </a:r>
        </a:p>
      </xdr:txBody>
    </xdr:sp>
    <xdr:clientData/>
  </xdr:twoCellAnchor>
  <xdr:twoCellAnchor>
    <xdr:from>
      <xdr:col>22</xdr:col>
      <xdr:colOff>276225</xdr:colOff>
      <xdr:row>19</xdr:row>
      <xdr:rowOff>0</xdr:rowOff>
    </xdr:from>
    <xdr:to>
      <xdr:col>28</xdr:col>
      <xdr:colOff>276225</xdr:colOff>
      <xdr:row>23</xdr:row>
      <xdr:rowOff>47625</xdr:rowOff>
    </xdr:to>
    <xdr:sp macro="" textlink="">
      <xdr:nvSpPr>
        <xdr:cNvPr id="42" name="TextBox 41">
          <a:extLst>
            <a:ext uri="{FF2B5EF4-FFF2-40B4-BE49-F238E27FC236}">
              <a16:creationId xmlns:a16="http://schemas.microsoft.com/office/drawing/2014/main" id="{3072BDF9-DD21-2191-FD64-DB978B492B1B}"/>
            </a:ext>
            <a:ext uri="{147F2762-F138-4A5C-976F-8EAC2B608ADB}">
              <a16:predDERef xmlns:a16="http://schemas.microsoft.com/office/drawing/2014/main" pred="{3A1A08CA-1BB4-8748-0F91-848F94ECD39F}"/>
            </a:ext>
          </a:extLst>
        </xdr:cNvPr>
        <xdr:cNvSpPr txBox="1"/>
      </xdr:nvSpPr>
      <xdr:spPr>
        <a:xfrm>
          <a:off x="13935075" y="3619500"/>
          <a:ext cx="3657600" cy="8096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Excluding the 'Other' career choice, the most common career choice of the fathers of both the boys and girls is civil service work. Both graphs are consistent with eachother</a:t>
          </a:r>
        </a:p>
      </xdr:txBody>
    </xdr:sp>
    <xdr:clientData/>
  </xdr:twoCellAnchor>
  <xdr:twoCellAnchor>
    <xdr:from>
      <xdr:col>22</xdr:col>
      <xdr:colOff>285750</xdr:colOff>
      <xdr:row>33</xdr:row>
      <xdr:rowOff>161925</xdr:rowOff>
    </xdr:from>
    <xdr:to>
      <xdr:col>28</xdr:col>
      <xdr:colOff>342900</xdr:colOff>
      <xdr:row>38</xdr:row>
      <xdr:rowOff>161925</xdr:rowOff>
    </xdr:to>
    <xdr:sp macro="" textlink="">
      <xdr:nvSpPr>
        <xdr:cNvPr id="43" name="TextBox 42">
          <a:extLst>
            <a:ext uri="{FF2B5EF4-FFF2-40B4-BE49-F238E27FC236}">
              <a16:creationId xmlns:a16="http://schemas.microsoft.com/office/drawing/2014/main" id="{BB1A6687-7163-A547-92FE-4AA316BD024C}"/>
            </a:ext>
            <a:ext uri="{147F2762-F138-4A5C-976F-8EAC2B608ADB}">
              <a16:predDERef xmlns:a16="http://schemas.microsoft.com/office/drawing/2014/main" pred="{3072BDF9-DD21-2191-FD64-DB978B492B1B}"/>
            </a:ext>
          </a:extLst>
        </xdr:cNvPr>
        <xdr:cNvSpPr txBox="1"/>
      </xdr:nvSpPr>
      <xdr:spPr>
        <a:xfrm>
          <a:off x="13944600" y="6448425"/>
          <a:ext cx="371475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More of the girls' mothers are stay at home moms than the boys and more of the boys' mothers are teachers. Civil service work is consistent amongst the fathers and mothers of both the girl and boy students. </a:t>
          </a:r>
        </a:p>
      </xdr:txBody>
    </xdr:sp>
    <xdr:clientData/>
  </xdr:twoCellAnchor>
  <xdr:twoCellAnchor>
    <xdr:from>
      <xdr:col>22</xdr:col>
      <xdr:colOff>352425</xdr:colOff>
      <xdr:row>49</xdr:row>
      <xdr:rowOff>0</xdr:rowOff>
    </xdr:from>
    <xdr:to>
      <xdr:col>28</xdr:col>
      <xdr:colOff>542925</xdr:colOff>
      <xdr:row>54</xdr:row>
      <xdr:rowOff>0</xdr:rowOff>
    </xdr:to>
    <xdr:sp macro="" textlink="">
      <xdr:nvSpPr>
        <xdr:cNvPr id="44" name="TextBox 43">
          <a:extLst>
            <a:ext uri="{FF2B5EF4-FFF2-40B4-BE49-F238E27FC236}">
              <a16:creationId xmlns:a16="http://schemas.microsoft.com/office/drawing/2014/main" id="{E57629F9-F7F3-D55A-2697-602ECE03045E}"/>
            </a:ext>
            <a:ext uri="{147F2762-F138-4A5C-976F-8EAC2B608ADB}">
              <a16:predDERef xmlns:a16="http://schemas.microsoft.com/office/drawing/2014/main" pred="{BB1A6687-7163-A547-92FE-4AA316BD024C}"/>
            </a:ext>
          </a:extLst>
        </xdr:cNvPr>
        <xdr:cNvSpPr txBox="1"/>
      </xdr:nvSpPr>
      <xdr:spPr>
        <a:xfrm>
          <a:off x="14011275" y="9334500"/>
          <a:ext cx="384810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education of the Fathers of both the girls and boys are consistent with eachother and distributed reletively evenly amongst the education levels. They have diverse levels of educations. A shocking amount of them never even made it to high school. Around half for both the girls' and boys' fathers. </a:t>
          </a:r>
        </a:p>
      </xdr:txBody>
    </xdr:sp>
    <xdr:clientData/>
  </xdr:twoCellAnchor>
  <xdr:twoCellAnchor>
    <xdr:from>
      <xdr:col>22</xdr:col>
      <xdr:colOff>371475</xdr:colOff>
      <xdr:row>63</xdr:row>
      <xdr:rowOff>180975</xdr:rowOff>
    </xdr:from>
    <xdr:to>
      <xdr:col>28</xdr:col>
      <xdr:colOff>533400</xdr:colOff>
      <xdr:row>70</xdr:row>
      <xdr:rowOff>9525</xdr:rowOff>
    </xdr:to>
    <xdr:sp macro="" textlink="">
      <xdr:nvSpPr>
        <xdr:cNvPr id="2" name="TextBox 1">
          <a:extLst>
            <a:ext uri="{FF2B5EF4-FFF2-40B4-BE49-F238E27FC236}">
              <a16:creationId xmlns:a16="http://schemas.microsoft.com/office/drawing/2014/main" id="{8B5EE76D-9E13-2E17-C861-679F7C749492}"/>
            </a:ext>
            <a:ext uri="{147F2762-F138-4A5C-976F-8EAC2B608ADB}">
              <a16:predDERef xmlns:a16="http://schemas.microsoft.com/office/drawing/2014/main" pred="{E57629F9-F7F3-D55A-2697-602ECE03045E}"/>
            </a:ext>
          </a:extLst>
        </xdr:cNvPr>
        <xdr:cNvSpPr txBox="1"/>
      </xdr:nvSpPr>
      <xdr:spPr>
        <a:xfrm>
          <a:off x="14030325" y="12182475"/>
          <a:ext cx="3819525" cy="11620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More of the mothers of the boys  went on to pursue higher educations than the mothers of the girls and more mothers also went on to pursue higher educations than the fathers. The data is still relatively consistent between both the mothers of the male and female students as well as between the mothers and fathers.</a:t>
          </a:r>
        </a:p>
      </xdr:txBody>
    </xdr:sp>
    <xdr:clientData/>
  </xdr:twoCellAnchor>
  <xdr:twoCellAnchor>
    <xdr:from>
      <xdr:col>17</xdr:col>
      <xdr:colOff>590550</xdr:colOff>
      <xdr:row>78</xdr:row>
      <xdr:rowOff>161925</xdr:rowOff>
    </xdr:from>
    <xdr:to>
      <xdr:col>26</xdr:col>
      <xdr:colOff>419100</xdr:colOff>
      <xdr:row>90</xdr:row>
      <xdr:rowOff>152400</xdr:rowOff>
    </xdr:to>
    <xdr:sp macro="" textlink="">
      <xdr:nvSpPr>
        <xdr:cNvPr id="3" name="TextBox 2">
          <a:extLst>
            <a:ext uri="{FF2B5EF4-FFF2-40B4-BE49-F238E27FC236}">
              <a16:creationId xmlns:a16="http://schemas.microsoft.com/office/drawing/2014/main" id="{4A0FA080-467D-B69E-80AD-828685A06B25}"/>
            </a:ext>
            <a:ext uri="{147F2762-F138-4A5C-976F-8EAC2B608ADB}">
              <a16:predDERef xmlns:a16="http://schemas.microsoft.com/office/drawing/2014/main" pred="{8B5EE76D-9E13-2E17-C861-679F7C749492}"/>
            </a:ext>
          </a:extLst>
        </xdr:cNvPr>
        <xdr:cNvSpPr txBox="1"/>
      </xdr:nvSpPr>
      <xdr:spPr>
        <a:xfrm>
          <a:off x="11201400" y="15020925"/>
          <a:ext cx="5314950" cy="22764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This seems to be a subjective scale where the user gives a rating based on what they perceived. I believe this because none of the students scored a three, two, or one. If this scale was directly correlated to the students' grades then at least one student was bound to score a one, two, or three. Everything else is on a relatively expected distribution curve except for where the zero score skews. This is likely because any student who had such low scores just submitted that they scored a zero because they were failing anyway. </a:t>
          </a:r>
        </a:p>
        <a:p>
          <a:pPr marL="0" indent="0" algn="l"/>
          <a:endParaRPr lang="en-US" sz="1100" b="0"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endParaRPr>
        </a:p>
        <a:p>
          <a:pPr marL="0" indent="0" algn="l"/>
          <a:r>
            <a:rPr lang="en-US" sz="1100" b="0"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The data shows that the boys generally performed better than the girls. The boys' average score was higher, the only person to get a perfect score was a boy, and out of the students that scored zero, 60% were girls (seen on following page, more girls being surveyed may have contributed to this). When you consider what was stated above, this might only mean that the girls are more critical of themselves.</a:t>
          </a:r>
        </a:p>
      </xdr:txBody>
    </xdr:sp>
    <xdr:clientData/>
  </xdr:twoCellAnchor>
  <xdr:twoCellAnchor>
    <xdr:from>
      <xdr:col>22</xdr:col>
      <xdr:colOff>295275</xdr:colOff>
      <xdr:row>108</xdr:row>
      <xdr:rowOff>9525</xdr:rowOff>
    </xdr:from>
    <xdr:to>
      <xdr:col>30</xdr:col>
      <xdr:colOff>66675</xdr:colOff>
      <xdr:row>115</xdr:row>
      <xdr:rowOff>28575</xdr:rowOff>
    </xdr:to>
    <xdr:sp macro="" textlink="">
      <xdr:nvSpPr>
        <xdr:cNvPr id="14" name="TextBox 13">
          <a:extLst>
            <a:ext uri="{FF2B5EF4-FFF2-40B4-BE49-F238E27FC236}">
              <a16:creationId xmlns:a16="http://schemas.microsoft.com/office/drawing/2014/main" id="{2E4EBEF8-DFB9-C052-67D2-36965D72A3A0}"/>
            </a:ext>
            <a:ext uri="{147F2762-F138-4A5C-976F-8EAC2B608ADB}">
              <a16:predDERef xmlns:a16="http://schemas.microsoft.com/office/drawing/2014/main" pred="{4A0FA080-467D-B69E-80AD-828685A06B25}"/>
            </a:ext>
          </a:extLst>
        </xdr:cNvPr>
        <xdr:cNvSpPr txBox="1"/>
      </xdr:nvSpPr>
      <xdr:spPr>
        <a:xfrm>
          <a:off x="13954125" y="20583525"/>
          <a:ext cx="4648200" cy="13525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data here is relatively consistent between the boys and girls. Only small differences in the amount of students in extracurricular activities as well as the ones that are romantically involved. proportionatly more girls than boys are both in after school activities as well as dating. There is less than a 10% difference in both cases. This may also be a contributing factor to why the boys are performing better. The girls on average missed school 17% more often than the boys which may also have been a factor in this.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0</xdr:row>
      <xdr:rowOff>142875</xdr:rowOff>
    </xdr:from>
    <xdr:to>
      <xdr:col>10</xdr:col>
      <xdr:colOff>190500</xdr:colOff>
      <xdr:row>2</xdr:row>
      <xdr:rowOff>152400</xdr:rowOff>
    </xdr:to>
    <xdr:sp macro="" textlink="">
      <xdr:nvSpPr>
        <xdr:cNvPr id="2" name="TextBox 1">
          <a:extLst>
            <a:ext uri="{FF2B5EF4-FFF2-40B4-BE49-F238E27FC236}">
              <a16:creationId xmlns:a16="http://schemas.microsoft.com/office/drawing/2014/main" id="{FEA0A116-DE73-90BA-737E-B76940AD4643}"/>
            </a:ext>
          </a:extLst>
        </xdr:cNvPr>
        <xdr:cNvSpPr txBox="1"/>
      </xdr:nvSpPr>
      <xdr:spPr>
        <a:xfrm>
          <a:off x="3038475" y="142875"/>
          <a:ext cx="4305300" cy="3905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000" b="0" i="0" u="none" strike="noStrike">
              <a:solidFill>
                <a:srgbClr val="000000"/>
              </a:solidFill>
              <a:latin typeface="Calibri" panose="020F0502020204030204" pitchFamily="34" charset="0"/>
              <a:cs typeface="Calibri" panose="020F0502020204030204" pitchFamily="34" charset="0"/>
            </a:rPr>
            <a:t>Analytics of Students Who </a:t>
          </a:r>
          <a:r>
            <a:rPr lang="en-US" sz="2000" b="0" i="0" u="none" strike="noStrike">
              <a:solidFill>
                <a:srgbClr val="FF0000"/>
              </a:solidFill>
              <a:latin typeface="Calibri" panose="020F0502020204030204" pitchFamily="34" charset="0"/>
              <a:cs typeface="Calibri" panose="020F0502020204030204" pitchFamily="34" charset="0"/>
            </a:rPr>
            <a:t>Scored Zero</a:t>
          </a:r>
        </a:p>
      </xdr:txBody>
    </xdr:sp>
    <xdr:clientData/>
  </xdr:twoCellAnchor>
  <xdr:twoCellAnchor>
    <xdr:from>
      <xdr:col>7</xdr:col>
      <xdr:colOff>47625</xdr:colOff>
      <xdr:row>3</xdr:row>
      <xdr:rowOff>180975</xdr:rowOff>
    </xdr:from>
    <xdr:to>
      <xdr:col>14</xdr:col>
      <xdr:colOff>352425</xdr:colOff>
      <xdr:row>18</xdr:row>
      <xdr:rowOff>66675</xdr:rowOff>
    </xdr:to>
    <xdr:graphicFrame macro="">
      <xdr:nvGraphicFramePr>
        <xdr:cNvPr id="5" name="Chart 4">
          <a:extLst>
            <a:ext uri="{FF2B5EF4-FFF2-40B4-BE49-F238E27FC236}">
              <a16:creationId xmlns:a16="http://schemas.microsoft.com/office/drawing/2014/main" id="{459B2E78-F8B2-2AA9-517B-C5F48D63EAD5}"/>
            </a:ext>
            <a:ext uri="{147F2762-F138-4A5C-976F-8EAC2B608ADB}">
              <a16:predDERef xmlns:a16="http://schemas.microsoft.com/office/drawing/2014/main" pred="{FEA0A116-DE73-90BA-737E-B76940AD4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514350</xdr:colOff>
      <xdr:row>3</xdr:row>
      <xdr:rowOff>180975</xdr:rowOff>
    </xdr:from>
    <xdr:to>
      <xdr:col>22</xdr:col>
      <xdr:colOff>209550</xdr:colOff>
      <xdr:row>18</xdr:row>
      <xdr:rowOff>66675</xdr:rowOff>
    </xdr:to>
    <xdr:graphicFrame macro="">
      <xdr:nvGraphicFramePr>
        <xdr:cNvPr id="6" name="Chart 5">
          <a:extLst>
            <a:ext uri="{FF2B5EF4-FFF2-40B4-BE49-F238E27FC236}">
              <a16:creationId xmlns:a16="http://schemas.microsoft.com/office/drawing/2014/main" id="{9FBADABD-05AE-440D-5267-A0E9214EA492}"/>
            </a:ext>
            <a:ext uri="{147F2762-F138-4A5C-976F-8EAC2B608ADB}">
              <a16:predDERef xmlns:a16="http://schemas.microsoft.com/office/drawing/2014/main" pred="{459B2E78-F8B2-2AA9-517B-C5F48D63E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18</xdr:row>
      <xdr:rowOff>180975</xdr:rowOff>
    </xdr:from>
    <xdr:to>
      <xdr:col>14</xdr:col>
      <xdr:colOff>352425</xdr:colOff>
      <xdr:row>33</xdr:row>
      <xdr:rowOff>66675</xdr:rowOff>
    </xdr:to>
    <xdr:graphicFrame macro="">
      <xdr:nvGraphicFramePr>
        <xdr:cNvPr id="7" name="Chart 6">
          <a:extLst>
            <a:ext uri="{FF2B5EF4-FFF2-40B4-BE49-F238E27FC236}">
              <a16:creationId xmlns:a16="http://schemas.microsoft.com/office/drawing/2014/main" id="{B9CB02FF-73D3-489E-8139-77BACFA7E567}"/>
            </a:ext>
            <a:ext uri="{147F2762-F138-4A5C-976F-8EAC2B608ADB}">
              <a16:predDERef xmlns:a16="http://schemas.microsoft.com/office/drawing/2014/main" pred="{9FBADABD-05AE-440D-5267-A0E9214E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533400</xdr:colOff>
      <xdr:row>18</xdr:row>
      <xdr:rowOff>171450</xdr:rowOff>
    </xdr:from>
    <xdr:to>
      <xdr:col>22</xdr:col>
      <xdr:colOff>228600</xdr:colOff>
      <xdr:row>33</xdr:row>
      <xdr:rowOff>57150</xdr:rowOff>
    </xdr:to>
    <xdr:graphicFrame macro="">
      <xdr:nvGraphicFramePr>
        <xdr:cNvPr id="8" name="Chart 7">
          <a:extLst>
            <a:ext uri="{FF2B5EF4-FFF2-40B4-BE49-F238E27FC236}">
              <a16:creationId xmlns:a16="http://schemas.microsoft.com/office/drawing/2014/main" id="{A47D2A7C-0A7B-C2D9-1530-25D3ED595932}"/>
            </a:ext>
            <a:ext uri="{147F2762-F138-4A5C-976F-8EAC2B608ADB}">
              <a16:predDERef xmlns:a16="http://schemas.microsoft.com/office/drawing/2014/main" pred="{B9CB02FF-73D3-489E-8139-77BACFA7E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xdr:colOff>
      <xdr:row>33</xdr:row>
      <xdr:rowOff>161925</xdr:rowOff>
    </xdr:from>
    <xdr:to>
      <xdr:col>14</xdr:col>
      <xdr:colOff>361950</xdr:colOff>
      <xdr:row>48</xdr:row>
      <xdr:rowOff>47625</xdr:rowOff>
    </xdr:to>
    <xdr:graphicFrame macro="">
      <xdr:nvGraphicFramePr>
        <xdr:cNvPr id="9" name="Chart 8">
          <a:extLst>
            <a:ext uri="{FF2B5EF4-FFF2-40B4-BE49-F238E27FC236}">
              <a16:creationId xmlns:a16="http://schemas.microsoft.com/office/drawing/2014/main" id="{E0C98517-968E-B4D8-7EF0-81ED298EF461}"/>
            </a:ext>
            <a:ext uri="{147F2762-F138-4A5C-976F-8EAC2B608ADB}">
              <a16:predDERef xmlns:a16="http://schemas.microsoft.com/office/drawing/2014/main" pred="{A47D2A7C-0A7B-C2D9-1530-25D3ED595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523875</xdr:colOff>
      <xdr:row>34</xdr:row>
      <xdr:rowOff>0</xdr:rowOff>
    </xdr:from>
    <xdr:to>
      <xdr:col>22</xdr:col>
      <xdr:colOff>219075</xdr:colOff>
      <xdr:row>48</xdr:row>
      <xdr:rowOff>76200</xdr:rowOff>
    </xdr:to>
    <xdr:graphicFrame macro="">
      <xdr:nvGraphicFramePr>
        <xdr:cNvPr id="10" name="Chart 9">
          <a:extLst>
            <a:ext uri="{FF2B5EF4-FFF2-40B4-BE49-F238E27FC236}">
              <a16:creationId xmlns:a16="http://schemas.microsoft.com/office/drawing/2014/main" id="{ADB41038-086D-7D6A-64D1-141F43146B91}"/>
            </a:ext>
            <a:ext uri="{147F2762-F138-4A5C-976F-8EAC2B608ADB}">
              <a16:predDERef xmlns:a16="http://schemas.microsoft.com/office/drawing/2014/main" pred="{E0C98517-968E-B4D8-7EF0-81ED298EF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76200</xdr:colOff>
      <xdr:row>48</xdr:row>
      <xdr:rowOff>180975</xdr:rowOff>
    </xdr:from>
    <xdr:to>
      <xdr:col>14</xdr:col>
      <xdr:colOff>381000</xdr:colOff>
      <xdr:row>63</xdr:row>
      <xdr:rowOff>66675</xdr:rowOff>
    </xdr:to>
    <xdr:graphicFrame macro="">
      <xdr:nvGraphicFramePr>
        <xdr:cNvPr id="12" name="Chart 11">
          <a:extLst>
            <a:ext uri="{FF2B5EF4-FFF2-40B4-BE49-F238E27FC236}">
              <a16:creationId xmlns:a16="http://schemas.microsoft.com/office/drawing/2014/main" id="{A3B5CAD4-BCBB-7E0D-EAF0-BA5C36657937}"/>
            </a:ext>
            <a:ext uri="{147F2762-F138-4A5C-976F-8EAC2B608ADB}">
              <a16:predDERef xmlns:a16="http://schemas.microsoft.com/office/drawing/2014/main" pred="{ADB41038-086D-7D6A-64D1-141F43146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523875</xdr:colOff>
      <xdr:row>48</xdr:row>
      <xdr:rowOff>180975</xdr:rowOff>
    </xdr:from>
    <xdr:to>
      <xdr:col>22</xdr:col>
      <xdr:colOff>219075</xdr:colOff>
      <xdr:row>63</xdr:row>
      <xdr:rowOff>66675</xdr:rowOff>
    </xdr:to>
    <xdr:graphicFrame macro="">
      <xdr:nvGraphicFramePr>
        <xdr:cNvPr id="13" name="Chart 12">
          <a:extLst>
            <a:ext uri="{FF2B5EF4-FFF2-40B4-BE49-F238E27FC236}">
              <a16:creationId xmlns:a16="http://schemas.microsoft.com/office/drawing/2014/main" id="{93356F92-3463-D693-7F83-26E4F81E8C8A}"/>
            </a:ext>
            <a:ext uri="{147F2762-F138-4A5C-976F-8EAC2B608ADB}">
              <a16:predDERef xmlns:a16="http://schemas.microsoft.com/office/drawing/2014/main" pred="{A3B5CAD4-BCBB-7E0D-EAF0-BA5C36657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85725</xdr:colOff>
      <xdr:row>64</xdr:row>
      <xdr:rowOff>0</xdr:rowOff>
    </xdr:from>
    <xdr:to>
      <xdr:col>14</xdr:col>
      <xdr:colOff>390525</xdr:colOff>
      <xdr:row>78</xdr:row>
      <xdr:rowOff>76200</xdr:rowOff>
    </xdr:to>
    <xdr:graphicFrame macro="">
      <xdr:nvGraphicFramePr>
        <xdr:cNvPr id="14" name="Chart 13">
          <a:extLst>
            <a:ext uri="{FF2B5EF4-FFF2-40B4-BE49-F238E27FC236}">
              <a16:creationId xmlns:a16="http://schemas.microsoft.com/office/drawing/2014/main" id="{E13AFB68-4FAA-6AD0-B82A-753CED155462}"/>
            </a:ext>
            <a:ext uri="{147F2762-F138-4A5C-976F-8EAC2B608ADB}">
              <a16:predDERef xmlns:a16="http://schemas.microsoft.com/office/drawing/2014/main" pred="{93356F92-3463-D693-7F83-26E4F81E8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552450</xdr:colOff>
      <xdr:row>63</xdr:row>
      <xdr:rowOff>171450</xdr:rowOff>
    </xdr:from>
    <xdr:to>
      <xdr:col>22</xdr:col>
      <xdr:colOff>247650</xdr:colOff>
      <xdr:row>78</xdr:row>
      <xdr:rowOff>57150</xdr:rowOff>
    </xdr:to>
    <xdr:graphicFrame macro="">
      <xdr:nvGraphicFramePr>
        <xdr:cNvPr id="15" name="Chart 14">
          <a:extLst>
            <a:ext uri="{FF2B5EF4-FFF2-40B4-BE49-F238E27FC236}">
              <a16:creationId xmlns:a16="http://schemas.microsoft.com/office/drawing/2014/main" id="{A086DC13-1081-91FB-E696-3C61788C87EE}"/>
            </a:ext>
            <a:ext uri="{147F2762-F138-4A5C-976F-8EAC2B608ADB}">
              <a16:predDERef xmlns:a16="http://schemas.microsoft.com/office/drawing/2014/main" pred="{E13AFB68-4FAA-6AD0-B82A-753CED155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85725</xdr:colOff>
      <xdr:row>79</xdr:row>
      <xdr:rowOff>0</xdr:rowOff>
    </xdr:from>
    <xdr:to>
      <xdr:col>14</xdr:col>
      <xdr:colOff>390525</xdr:colOff>
      <xdr:row>93</xdr:row>
      <xdr:rowOff>76200</xdr:rowOff>
    </xdr:to>
    <xdr:graphicFrame macro="">
      <xdr:nvGraphicFramePr>
        <xdr:cNvPr id="17" name="Chart 16">
          <a:extLst>
            <a:ext uri="{FF2B5EF4-FFF2-40B4-BE49-F238E27FC236}">
              <a16:creationId xmlns:a16="http://schemas.microsoft.com/office/drawing/2014/main" id="{5E7B12C9-F083-7671-8E8E-15234AFF6939}"/>
            </a:ext>
            <a:ext uri="{147F2762-F138-4A5C-976F-8EAC2B608ADB}">
              <a16:predDERef xmlns:a16="http://schemas.microsoft.com/office/drawing/2014/main" pred="{A086DC13-1081-91FB-E696-3C61788C8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542925</xdr:colOff>
      <xdr:row>78</xdr:row>
      <xdr:rowOff>180975</xdr:rowOff>
    </xdr:from>
    <xdr:to>
      <xdr:col>22</xdr:col>
      <xdr:colOff>238125</xdr:colOff>
      <xdr:row>93</xdr:row>
      <xdr:rowOff>66675</xdr:rowOff>
    </xdr:to>
    <xdr:graphicFrame macro="">
      <xdr:nvGraphicFramePr>
        <xdr:cNvPr id="18" name="Chart 17">
          <a:extLst>
            <a:ext uri="{FF2B5EF4-FFF2-40B4-BE49-F238E27FC236}">
              <a16:creationId xmlns:a16="http://schemas.microsoft.com/office/drawing/2014/main" id="{B1B9E054-8FB2-5EBF-FEAD-321120FAC9E5}"/>
            </a:ext>
            <a:ext uri="{147F2762-F138-4A5C-976F-8EAC2B608ADB}">
              <a16:predDERef xmlns:a16="http://schemas.microsoft.com/office/drawing/2014/main" pred="{5E7B12C9-F083-7671-8E8E-15234AFF6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85725</xdr:colOff>
      <xdr:row>93</xdr:row>
      <xdr:rowOff>180975</xdr:rowOff>
    </xdr:from>
    <xdr:to>
      <xdr:col>14</xdr:col>
      <xdr:colOff>390525</xdr:colOff>
      <xdr:row>108</xdr:row>
      <xdr:rowOff>66675</xdr:rowOff>
    </xdr:to>
    <xdr:graphicFrame macro="">
      <xdr:nvGraphicFramePr>
        <xdr:cNvPr id="19" name="Chart 18">
          <a:extLst>
            <a:ext uri="{FF2B5EF4-FFF2-40B4-BE49-F238E27FC236}">
              <a16:creationId xmlns:a16="http://schemas.microsoft.com/office/drawing/2014/main" id="{FD6F2F2D-341D-2757-BFC1-92E5A1B44FD9}"/>
            </a:ext>
            <a:ext uri="{147F2762-F138-4A5C-976F-8EAC2B608ADB}">
              <a16:predDERef xmlns:a16="http://schemas.microsoft.com/office/drawing/2014/main" pred="{B1B9E054-8FB2-5EBF-FEAD-321120FAC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552450</xdr:colOff>
      <xdr:row>94</xdr:row>
      <xdr:rowOff>0</xdr:rowOff>
    </xdr:from>
    <xdr:to>
      <xdr:col>22</xdr:col>
      <xdr:colOff>247650</xdr:colOff>
      <xdr:row>108</xdr:row>
      <xdr:rowOff>76200</xdr:rowOff>
    </xdr:to>
    <xdr:graphicFrame macro="">
      <xdr:nvGraphicFramePr>
        <xdr:cNvPr id="20" name="Chart 19">
          <a:extLst>
            <a:ext uri="{FF2B5EF4-FFF2-40B4-BE49-F238E27FC236}">
              <a16:creationId xmlns:a16="http://schemas.microsoft.com/office/drawing/2014/main" id="{C2B73849-8EF3-BC51-D988-3682BF10531C}"/>
            </a:ext>
            <a:ext uri="{147F2762-F138-4A5C-976F-8EAC2B608ADB}">
              <a16:predDERef xmlns:a16="http://schemas.microsoft.com/office/drawing/2014/main" pred="{FD6F2F2D-341D-2757-BFC1-92E5A1B44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104775</xdr:colOff>
      <xdr:row>108</xdr:row>
      <xdr:rowOff>171450</xdr:rowOff>
    </xdr:from>
    <xdr:to>
      <xdr:col>14</xdr:col>
      <xdr:colOff>409575</xdr:colOff>
      <xdr:row>123</xdr:row>
      <xdr:rowOff>57150</xdr:rowOff>
    </xdr:to>
    <xdr:graphicFrame macro="">
      <xdr:nvGraphicFramePr>
        <xdr:cNvPr id="21" name="Chart 20">
          <a:extLst>
            <a:ext uri="{FF2B5EF4-FFF2-40B4-BE49-F238E27FC236}">
              <a16:creationId xmlns:a16="http://schemas.microsoft.com/office/drawing/2014/main" id="{D7508688-3269-3A8B-B08B-1FB5C5018DF2}"/>
            </a:ext>
            <a:ext uri="{147F2762-F138-4A5C-976F-8EAC2B608ADB}">
              <a16:predDERef xmlns:a16="http://schemas.microsoft.com/office/drawing/2014/main" pred="{C2B73849-8EF3-BC51-D988-3682BF105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561975</xdr:colOff>
      <xdr:row>108</xdr:row>
      <xdr:rowOff>180975</xdr:rowOff>
    </xdr:from>
    <xdr:to>
      <xdr:col>22</xdr:col>
      <xdr:colOff>257175</xdr:colOff>
      <xdr:row>123</xdr:row>
      <xdr:rowOff>66675</xdr:rowOff>
    </xdr:to>
    <xdr:graphicFrame macro="">
      <xdr:nvGraphicFramePr>
        <xdr:cNvPr id="22" name="Chart 21">
          <a:extLst>
            <a:ext uri="{FF2B5EF4-FFF2-40B4-BE49-F238E27FC236}">
              <a16:creationId xmlns:a16="http://schemas.microsoft.com/office/drawing/2014/main" id="{830B71AA-D0F4-423C-54F9-105AA0C1776A}"/>
            </a:ext>
            <a:ext uri="{147F2762-F138-4A5C-976F-8EAC2B608ADB}">
              <a16:predDERef xmlns:a16="http://schemas.microsoft.com/office/drawing/2014/main" pred="{D7508688-3269-3A8B-B08B-1FB5C5018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114300</xdr:colOff>
      <xdr:row>123</xdr:row>
      <xdr:rowOff>161925</xdr:rowOff>
    </xdr:from>
    <xdr:to>
      <xdr:col>14</xdr:col>
      <xdr:colOff>419100</xdr:colOff>
      <xdr:row>138</xdr:row>
      <xdr:rowOff>47625</xdr:rowOff>
    </xdr:to>
    <xdr:graphicFrame macro="">
      <xdr:nvGraphicFramePr>
        <xdr:cNvPr id="23" name="Chart 22">
          <a:extLst>
            <a:ext uri="{FF2B5EF4-FFF2-40B4-BE49-F238E27FC236}">
              <a16:creationId xmlns:a16="http://schemas.microsoft.com/office/drawing/2014/main" id="{094124DA-A3B4-64DC-C1B0-CBBD10086B57}"/>
            </a:ext>
            <a:ext uri="{147F2762-F138-4A5C-976F-8EAC2B608ADB}">
              <a16:predDERef xmlns:a16="http://schemas.microsoft.com/office/drawing/2014/main" pred="{830B71AA-D0F4-423C-54F9-105AA0C17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542925</xdr:colOff>
      <xdr:row>123</xdr:row>
      <xdr:rowOff>180975</xdr:rowOff>
    </xdr:from>
    <xdr:to>
      <xdr:col>22</xdr:col>
      <xdr:colOff>238125</xdr:colOff>
      <xdr:row>138</xdr:row>
      <xdr:rowOff>66675</xdr:rowOff>
    </xdr:to>
    <xdr:graphicFrame macro="">
      <xdr:nvGraphicFramePr>
        <xdr:cNvPr id="24" name="Chart 23">
          <a:extLst>
            <a:ext uri="{FF2B5EF4-FFF2-40B4-BE49-F238E27FC236}">
              <a16:creationId xmlns:a16="http://schemas.microsoft.com/office/drawing/2014/main" id="{CB9D7C1B-3976-F8EF-103D-848E7AED4E2C}"/>
            </a:ext>
            <a:ext uri="{147F2762-F138-4A5C-976F-8EAC2B608ADB}">
              <a16:predDERef xmlns:a16="http://schemas.microsoft.com/office/drawing/2014/main" pred="{094124DA-A3B4-64DC-C1B0-CBBD10086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22</xdr:col>
      <xdr:colOff>304800</xdr:colOff>
      <xdr:row>4</xdr:row>
      <xdr:rowOff>9525</xdr:rowOff>
    </xdr:from>
    <xdr:to>
      <xdr:col>27</xdr:col>
      <xdr:colOff>542925</xdr:colOff>
      <xdr:row>11</xdr:row>
      <xdr:rowOff>123825</xdr:rowOff>
    </xdr:to>
    <xdr:sp macro="" textlink="">
      <xdr:nvSpPr>
        <xdr:cNvPr id="25" name="TextBox 24">
          <a:extLst>
            <a:ext uri="{FF2B5EF4-FFF2-40B4-BE49-F238E27FC236}">
              <a16:creationId xmlns:a16="http://schemas.microsoft.com/office/drawing/2014/main" id="{FE396F5A-D2D3-7660-EC5E-C4B7302344F7}"/>
            </a:ext>
            <a:ext uri="{147F2762-F138-4A5C-976F-8EAC2B608ADB}">
              <a16:predDERef xmlns:a16="http://schemas.microsoft.com/office/drawing/2014/main" pred="{CB9D7C1B-3976-F8EF-103D-848E7AED4E2C}"/>
            </a:ext>
          </a:extLst>
        </xdr:cNvPr>
        <xdr:cNvSpPr txBox="1"/>
      </xdr:nvSpPr>
      <xdr:spPr>
        <a:xfrm>
          <a:off x="14773275" y="771525"/>
          <a:ext cx="3286125" cy="1447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FF0000"/>
              </a:solidFill>
              <a:latin typeface="Calibri" panose="020F0502020204030204" pitchFamily="34" charset="0"/>
              <a:cs typeface="Calibri" panose="020F0502020204030204" pitchFamily="34" charset="0"/>
            </a:rPr>
            <a:t>These charts show that 2/3 of the boys that failed spent less than 2 hours studying. Half of the girls who failed spent 2 to 5 hours studying a week. These charts show that a majority of the girls spent significantly more time studying a week. It is odd that so many of them studied but still failed. This leads me to believe that the girls whom failed were dishonest about the amount of hours spent studying</a:t>
          </a:r>
        </a:p>
      </xdr:txBody>
    </xdr:sp>
    <xdr:clientData/>
  </xdr:twoCellAnchor>
  <xdr:twoCellAnchor>
    <xdr:from>
      <xdr:col>22</xdr:col>
      <xdr:colOff>361950</xdr:colOff>
      <xdr:row>19</xdr:row>
      <xdr:rowOff>19050</xdr:rowOff>
    </xdr:from>
    <xdr:to>
      <xdr:col>28</xdr:col>
      <xdr:colOff>76200</xdr:colOff>
      <xdr:row>25</xdr:row>
      <xdr:rowOff>76200</xdr:rowOff>
    </xdr:to>
    <xdr:sp macro="" textlink="">
      <xdr:nvSpPr>
        <xdr:cNvPr id="3" name="TextBox 25">
          <a:extLst>
            <a:ext uri="{FF2B5EF4-FFF2-40B4-BE49-F238E27FC236}">
              <a16:creationId xmlns:a16="http://schemas.microsoft.com/office/drawing/2014/main" id="{7C01C0E3-2661-FC5A-EC56-E54FBB928ECD}"/>
            </a:ext>
            <a:ext uri="{147F2762-F138-4A5C-976F-8EAC2B608ADB}">
              <a16:predDERef xmlns:a16="http://schemas.microsoft.com/office/drawing/2014/main" pred="{FE396F5A-D2D3-7660-EC5E-C4B7302344F7}"/>
            </a:ext>
          </a:extLst>
        </xdr:cNvPr>
        <xdr:cNvSpPr txBox="1"/>
      </xdr:nvSpPr>
      <xdr:spPr>
        <a:xfrm>
          <a:off x="14830425" y="3638550"/>
          <a:ext cx="3371850" cy="12001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For both the boys and the girls, most of their fathers worked in careers of civil services such as police work IF they didnt work under "other". The data is relatively unchanging between the girl and boy students. The only difference being that there are more teachers amongst the fathers of the boys. </a:t>
          </a:r>
        </a:p>
      </xdr:txBody>
    </xdr:sp>
    <xdr:clientData/>
  </xdr:twoCellAnchor>
  <xdr:twoCellAnchor>
    <xdr:from>
      <xdr:col>22</xdr:col>
      <xdr:colOff>523875</xdr:colOff>
      <xdr:row>34</xdr:row>
      <xdr:rowOff>0</xdr:rowOff>
    </xdr:from>
    <xdr:to>
      <xdr:col>28</xdr:col>
      <xdr:colOff>28575</xdr:colOff>
      <xdr:row>41</xdr:row>
      <xdr:rowOff>57150</xdr:rowOff>
    </xdr:to>
    <xdr:sp macro="" textlink="">
      <xdr:nvSpPr>
        <xdr:cNvPr id="27" name="TextBox 26">
          <a:extLst>
            <a:ext uri="{FF2B5EF4-FFF2-40B4-BE49-F238E27FC236}">
              <a16:creationId xmlns:a16="http://schemas.microsoft.com/office/drawing/2014/main" id="{1BC75832-C5EC-F33E-9236-28B71FA2FC9F}"/>
            </a:ext>
            <a:ext uri="{147F2762-F138-4A5C-976F-8EAC2B608ADB}">
              <a16:predDERef xmlns:a16="http://schemas.microsoft.com/office/drawing/2014/main" pred="{7C01C0E3-2661-FC5A-EC56-E54FBB928ECD}"/>
            </a:ext>
          </a:extLst>
        </xdr:cNvPr>
        <xdr:cNvSpPr txBox="1"/>
      </xdr:nvSpPr>
      <xdr:spPr>
        <a:xfrm>
          <a:off x="14992350" y="6477000"/>
          <a:ext cx="3162300" cy="13906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mothers of the boy students were mostly teachers IF they didnt work for "other".  About a quarter of the boys' mothers were teachers. None of the girls' mothers were teachers at all. It is replaced with additional civil service workers as well as some health care workers, in which there were none amongst the mothers of the boys.</a:t>
          </a:r>
        </a:p>
      </xdr:txBody>
    </xdr:sp>
    <xdr:clientData/>
  </xdr:twoCellAnchor>
  <xdr:twoCellAnchor>
    <xdr:from>
      <xdr:col>22</xdr:col>
      <xdr:colOff>438150</xdr:colOff>
      <xdr:row>49</xdr:row>
      <xdr:rowOff>28575</xdr:rowOff>
    </xdr:from>
    <xdr:to>
      <xdr:col>28</xdr:col>
      <xdr:colOff>228600</xdr:colOff>
      <xdr:row>59</xdr:row>
      <xdr:rowOff>142875</xdr:rowOff>
    </xdr:to>
    <xdr:sp macro="" textlink="">
      <xdr:nvSpPr>
        <xdr:cNvPr id="4" name="TextBox 27">
          <a:extLst>
            <a:ext uri="{FF2B5EF4-FFF2-40B4-BE49-F238E27FC236}">
              <a16:creationId xmlns:a16="http://schemas.microsoft.com/office/drawing/2014/main" id="{C42EC10A-204B-6525-2D57-A29A71F8A78A}"/>
            </a:ext>
            <a:ext uri="{147F2762-F138-4A5C-976F-8EAC2B608ADB}">
              <a16:predDERef xmlns:a16="http://schemas.microsoft.com/office/drawing/2014/main" pred="{1BC75832-C5EC-F33E-9236-28B71FA2FC9F}"/>
            </a:ext>
          </a:extLst>
        </xdr:cNvPr>
        <xdr:cNvSpPr txBox="1"/>
      </xdr:nvSpPr>
      <xdr:spPr>
        <a:xfrm>
          <a:off x="14906625" y="9363075"/>
          <a:ext cx="3448050" cy="2019300"/>
        </a:xfrm>
        <a:prstGeom prst="rect">
          <a:avLst/>
        </a:prstGeom>
        <a:solidFill>
          <a:schemeClr val="lt1"/>
        </a:solidFill>
        <a:ln w="9525" cmpd="sng">
          <a:solidFill>
            <a:schemeClr val="lt1">
              <a:shade val="50000"/>
            </a:schemeClr>
          </a:solidFill>
        </a:ln>
      </xdr:spPr>
      <xdr:txBody>
        <a:bodyPr vertOverflow="clip" horzOverflow="clip" rtlCol="0" anchor="t"/>
        <a:lstStyle/>
        <a:p>
          <a:pPr marL="0" indent="0" algn="l"/>
          <a:r>
            <a:rPr lang="en-US" sz="1100" b="0" i="0" u="none" strike="noStrike">
              <a:solidFill>
                <a:srgbClr val="FF0000"/>
              </a:solidFill>
              <a:latin typeface="Calibri" panose="020F0502020204030204" pitchFamily="34" charset="0"/>
              <a:cs typeface="Calibri" panose="020F0502020204030204" pitchFamily="34" charset="0"/>
            </a:rPr>
            <a:t>A third of the fathers of the boy students that scored zero went on to pursue a higher education. More than half of the boys' fathers dropped out before highschool (primary education). Half as many fathers of the girl students went on to pursue a higher education than the fathers of the boy students, instead seemingly dropping out of school before high school instead. In both cases, more than half of the fathers of the students who scored zero dropped out of school before even reaching 9th grade. Almost 2/3 of the fathers of the girl students dropped out before high school.</a:t>
          </a:r>
        </a:p>
      </xdr:txBody>
    </xdr:sp>
    <xdr:clientData/>
  </xdr:twoCellAnchor>
  <xdr:twoCellAnchor>
    <xdr:from>
      <xdr:col>22</xdr:col>
      <xdr:colOff>476250</xdr:colOff>
      <xdr:row>64</xdr:row>
      <xdr:rowOff>19050</xdr:rowOff>
    </xdr:from>
    <xdr:to>
      <xdr:col>28</xdr:col>
      <xdr:colOff>304800</xdr:colOff>
      <xdr:row>77</xdr:row>
      <xdr:rowOff>57150</xdr:rowOff>
    </xdr:to>
    <xdr:sp macro="" textlink="">
      <xdr:nvSpPr>
        <xdr:cNvPr id="11" name="TextBox 10">
          <a:extLst>
            <a:ext uri="{FF2B5EF4-FFF2-40B4-BE49-F238E27FC236}">
              <a16:creationId xmlns:a16="http://schemas.microsoft.com/office/drawing/2014/main" id="{B48EE963-1500-25A0-9486-CCBB3EA909BF}"/>
            </a:ext>
            <a:ext uri="{147F2762-F138-4A5C-976F-8EAC2B608ADB}">
              <a16:predDERef xmlns:a16="http://schemas.microsoft.com/office/drawing/2014/main" pred="{C42EC10A-204B-6525-2D57-A29A71F8A78A}"/>
            </a:ext>
          </a:extLst>
        </xdr:cNvPr>
        <xdr:cNvSpPr txBox="1"/>
      </xdr:nvSpPr>
      <xdr:spPr>
        <a:xfrm>
          <a:off x="14944725" y="12211050"/>
          <a:ext cx="3486150" cy="25146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FF0000"/>
              </a:solidFill>
              <a:latin typeface="Calibri" panose="020F0502020204030204" pitchFamily="34" charset="0"/>
              <a:cs typeface="Calibri" panose="020F0502020204030204" pitchFamily="34" charset="0"/>
            </a:rPr>
            <a:t>The mothers' data doesn's vary much from the data of the fathers'. More of the mothers of the boy students went on to college while it seems that the mothers of the girl students dropped out of school before 9th grade in the place of that demographic. Again, 2/3 of the mothers of the girls also dropped out of school before high school as compared to the mothers of the boys which a little over half dropped out before high school. This means that there is more than likely families where neither the mother nor the father have high school educations or potentally even middle school educations and this is more likely to happen in the girls. This seems to be a leading cause to the poor performance as well as the lack of study time. </a:t>
          </a:r>
        </a:p>
      </xdr:txBody>
    </xdr:sp>
    <xdr:clientData/>
  </xdr:twoCellAnchor>
  <xdr:twoCellAnchor>
    <xdr:from>
      <xdr:col>22</xdr:col>
      <xdr:colOff>447675</xdr:colOff>
      <xdr:row>79</xdr:row>
      <xdr:rowOff>0</xdr:rowOff>
    </xdr:from>
    <xdr:to>
      <xdr:col>27</xdr:col>
      <xdr:colOff>171450</xdr:colOff>
      <xdr:row>91</xdr:row>
      <xdr:rowOff>38100</xdr:rowOff>
    </xdr:to>
    <xdr:sp macro="" textlink="">
      <xdr:nvSpPr>
        <xdr:cNvPr id="16" name="TextBox 15">
          <a:extLst>
            <a:ext uri="{FF2B5EF4-FFF2-40B4-BE49-F238E27FC236}">
              <a16:creationId xmlns:a16="http://schemas.microsoft.com/office/drawing/2014/main" id="{26A07EC6-A049-7B05-A000-539A47E6F9DB}"/>
            </a:ext>
            <a:ext uri="{147F2762-F138-4A5C-976F-8EAC2B608ADB}">
              <a16:predDERef xmlns:a16="http://schemas.microsoft.com/office/drawing/2014/main" pred="{B48EE963-1500-25A0-9486-CCBB3EA909BF}"/>
            </a:ext>
          </a:extLst>
        </xdr:cNvPr>
        <xdr:cNvSpPr txBox="1"/>
      </xdr:nvSpPr>
      <xdr:spPr>
        <a:xfrm>
          <a:off x="14916150" y="15049500"/>
          <a:ext cx="2771775" cy="23241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25% more girls were in after school activities than the boys. None of the boys who failed had parents whom were separated where girls had less than 10% of their parents separated. About 10% more of the girls did not have access to the internet and almost twice as many girls were in a relationship when compared to the boys. These all would have consumed free time and may be a contributing factor to why boys generally performed better. It is suspicious that none of the kids who scored zero ever missed a single day of school.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xdr:colOff>
      <xdr:row>3</xdr:row>
      <xdr:rowOff>180975</xdr:rowOff>
    </xdr:from>
    <xdr:to>
      <xdr:col>14</xdr:col>
      <xdr:colOff>342900</xdr:colOff>
      <xdr:row>18</xdr:row>
      <xdr:rowOff>66675</xdr:rowOff>
    </xdr:to>
    <xdr:graphicFrame macro="">
      <xdr:nvGraphicFramePr>
        <xdr:cNvPr id="2" name="Chart 1">
          <a:extLst>
            <a:ext uri="{FF2B5EF4-FFF2-40B4-BE49-F238E27FC236}">
              <a16:creationId xmlns:a16="http://schemas.microsoft.com/office/drawing/2014/main" id="{A5F55707-0831-F54D-4D30-57B77DF8B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361950</xdr:colOff>
      <xdr:row>3</xdr:row>
      <xdr:rowOff>171450</xdr:rowOff>
    </xdr:from>
    <xdr:to>
      <xdr:col>22</xdr:col>
      <xdr:colOff>57150</xdr:colOff>
      <xdr:row>18</xdr:row>
      <xdr:rowOff>57150</xdr:rowOff>
    </xdr:to>
    <xdr:graphicFrame macro="">
      <xdr:nvGraphicFramePr>
        <xdr:cNvPr id="3" name="Chart 2">
          <a:extLst>
            <a:ext uri="{FF2B5EF4-FFF2-40B4-BE49-F238E27FC236}">
              <a16:creationId xmlns:a16="http://schemas.microsoft.com/office/drawing/2014/main" id="{831AE91C-5F2F-66E4-0E87-E4F7D067F8FA}"/>
            </a:ext>
            <a:ext uri="{147F2762-F138-4A5C-976F-8EAC2B608ADB}">
              <a16:predDERef xmlns:a16="http://schemas.microsoft.com/office/drawing/2014/main" pred="{A5F55707-0831-F54D-4D30-57B77DF8B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19</xdr:row>
      <xdr:rowOff>9525</xdr:rowOff>
    </xdr:from>
    <xdr:to>
      <xdr:col>14</xdr:col>
      <xdr:colOff>342900</xdr:colOff>
      <xdr:row>33</xdr:row>
      <xdr:rowOff>85725</xdr:rowOff>
    </xdr:to>
    <xdr:graphicFrame macro="">
      <xdr:nvGraphicFramePr>
        <xdr:cNvPr id="5" name="Chart 4">
          <a:extLst>
            <a:ext uri="{FF2B5EF4-FFF2-40B4-BE49-F238E27FC236}">
              <a16:creationId xmlns:a16="http://schemas.microsoft.com/office/drawing/2014/main" id="{E2C37B3D-AC8A-66FD-99A9-77460FD26606}"/>
            </a:ext>
            <a:ext uri="{147F2762-F138-4A5C-976F-8EAC2B608ADB}">
              <a16:predDERef xmlns:a16="http://schemas.microsoft.com/office/drawing/2014/main" pred="{831AE91C-5F2F-66E4-0E87-E4F7D067F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390525</xdr:colOff>
      <xdr:row>19</xdr:row>
      <xdr:rowOff>0</xdr:rowOff>
    </xdr:from>
    <xdr:to>
      <xdr:col>22</xdr:col>
      <xdr:colOff>85725</xdr:colOff>
      <xdr:row>33</xdr:row>
      <xdr:rowOff>76200</xdr:rowOff>
    </xdr:to>
    <xdr:graphicFrame macro="">
      <xdr:nvGraphicFramePr>
        <xdr:cNvPr id="6" name="Chart 5">
          <a:extLst>
            <a:ext uri="{FF2B5EF4-FFF2-40B4-BE49-F238E27FC236}">
              <a16:creationId xmlns:a16="http://schemas.microsoft.com/office/drawing/2014/main" id="{1AC805A3-1F37-023D-C7A0-0C751C5D1E15}"/>
            </a:ext>
            <a:ext uri="{147F2762-F138-4A5C-976F-8EAC2B608ADB}">
              <a16:predDERef xmlns:a16="http://schemas.microsoft.com/office/drawing/2014/main" pred="{E2C37B3D-AC8A-66FD-99A9-77460FD26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xdr:colOff>
      <xdr:row>34</xdr:row>
      <xdr:rowOff>0</xdr:rowOff>
    </xdr:from>
    <xdr:to>
      <xdr:col>14</xdr:col>
      <xdr:colOff>342900</xdr:colOff>
      <xdr:row>48</xdr:row>
      <xdr:rowOff>76200</xdr:rowOff>
    </xdr:to>
    <xdr:graphicFrame macro="">
      <xdr:nvGraphicFramePr>
        <xdr:cNvPr id="7" name="Chart 6">
          <a:extLst>
            <a:ext uri="{FF2B5EF4-FFF2-40B4-BE49-F238E27FC236}">
              <a16:creationId xmlns:a16="http://schemas.microsoft.com/office/drawing/2014/main" id="{F47F64DD-3787-4351-ADAA-ED83B82F60CF}"/>
            </a:ext>
            <a:ext uri="{147F2762-F138-4A5C-976F-8EAC2B608ADB}">
              <a16:predDERef xmlns:a16="http://schemas.microsoft.com/office/drawing/2014/main" pred="{1AC805A3-1F37-023D-C7A0-0C751C5D1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390525</xdr:colOff>
      <xdr:row>34</xdr:row>
      <xdr:rowOff>9525</xdr:rowOff>
    </xdr:from>
    <xdr:to>
      <xdr:col>22</xdr:col>
      <xdr:colOff>85725</xdr:colOff>
      <xdr:row>48</xdr:row>
      <xdr:rowOff>85725</xdr:rowOff>
    </xdr:to>
    <xdr:graphicFrame macro="">
      <xdr:nvGraphicFramePr>
        <xdr:cNvPr id="8" name="Chart 7">
          <a:extLst>
            <a:ext uri="{FF2B5EF4-FFF2-40B4-BE49-F238E27FC236}">
              <a16:creationId xmlns:a16="http://schemas.microsoft.com/office/drawing/2014/main" id="{E87E5E1C-C783-8C42-1A72-925817B350F5}"/>
            </a:ext>
            <a:ext uri="{147F2762-F138-4A5C-976F-8EAC2B608ADB}">
              <a16:predDERef xmlns:a16="http://schemas.microsoft.com/office/drawing/2014/main" pred="{F47F64DD-3787-4351-ADAA-ED83B82F6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38100</xdr:colOff>
      <xdr:row>49</xdr:row>
      <xdr:rowOff>0</xdr:rowOff>
    </xdr:from>
    <xdr:to>
      <xdr:col>14</xdr:col>
      <xdr:colOff>342900</xdr:colOff>
      <xdr:row>63</xdr:row>
      <xdr:rowOff>76200</xdr:rowOff>
    </xdr:to>
    <xdr:graphicFrame macro="">
      <xdr:nvGraphicFramePr>
        <xdr:cNvPr id="9" name="Chart 8">
          <a:extLst>
            <a:ext uri="{FF2B5EF4-FFF2-40B4-BE49-F238E27FC236}">
              <a16:creationId xmlns:a16="http://schemas.microsoft.com/office/drawing/2014/main" id="{45BEB607-975B-D4DD-24F6-3D6257817264}"/>
            </a:ext>
            <a:ext uri="{147F2762-F138-4A5C-976F-8EAC2B608ADB}">
              <a16:predDERef xmlns:a16="http://schemas.microsoft.com/office/drawing/2014/main" pred="{E87E5E1C-C783-8C42-1A72-925817B35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400050</xdr:colOff>
      <xdr:row>49</xdr:row>
      <xdr:rowOff>9525</xdr:rowOff>
    </xdr:from>
    <xdr:to>
      <xdr:col>22</xdr:col>
      <xdr:colOff>95250</xdr:colOff>
      <xdr:row>63</xdr:row>
      <xdr:rowOff>85725</xdr:rowOff>
    </xdr:to>
    <xdr:graphicFrame macro="">
      <xdr:nvGraphicFramePr>
        <xdr:cNvPr id="11" name="Chart 10">
          <a:extLst>
            <a:ext uri="{FF2B5EF4-FFF2-40B4-BE49-F238E27FC236}">
              <a16:creationId xmlns:a16="http://schemas.microsoft.com/office/drawing/2014/main" id="{CAE36B57-5FDE-A1D8-3740-C90881825728}"/>
            </a:ext>
            <a:ext uri="{147F2762-F138-4A5C-976F-8EAC2B608ADB}">
              <a16:predDERef xmlns:a16="http://schemas.microsoft.com/office/drawing/2014/main" pred="{45BEB607-975B-D4DD-24F6-3D6257817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38100</xdr:colOff>
      <xdr:row>63</xdr:row>
      <xdr:rowOff>180975</xdr:rowOff>
    </xdr:from>
    <xdr:to>
      <xdr:col>14</xdr:col>
      <xdr:colOff>342900</xdr:colOff>
      <xdr:row>78</xdr:row>
      <xdr:rowOff>66675</xdr:rowOff>
    </xdr:to>
    <xdr:graphicFrame macro="">
      <xdr:nvGraphicFramePr>
        <xdr:cNvPr id="12" name="Chart 11">
          <a:extLst>
            <a:ext uri="{FF2B5EF4-FFF2-40B4-BE49-F238E27FC236}">
              <a16:creationId xmlns:a16="http://schemas.microsoft.com/office/drawing/2014/main" id="{8E41C308-6FAB-AEBE-9F7A-7587025860EE}"/>
            </a:ext>
            <a:ext uri="{147F2762-F138-4A5C-976F-8EAC2B608ADB}">
              <a16:predDERef xmlns:a16="http://schemas.microsoft.com/office/drawing/2014/main" pred="{CAE36B57-5FDE-A1D8-3740-C90881825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428625</xdr:colOff>
      <xdr:row>64</xdr:row>
      <xdr:rowOff>0</xdr:rowOff>
    </xdr:from>
    <xdr:to>
      <xdr:col>22</xdr:col>
      <xdr:colOff>123825</xdr:colOff>
      <xdr:row>78</xdr:row>
      <xdr:rowOff>76200</xdr:rowOff>
    </xdr:to>
    <xdr:graphicFrame macro="">
      <xdr:nvGraphicFramePr>
        <xdr:cNvPr id="13" name="Chart 12">
          <a:extLst>
            <a:ext uri="{FF2B5EF4-FFF2-40B4-BE49-F238E27FC236}">
              <a16:creationId xmlns:a16="http://schemas.microsoft.com/office/drawing/2014/main" id="{E68FF3C1-95CF-7EB6-73FB-520C7CFFB719}"/>
            </a:ext>
            <a:ext uri="{147F2762-F138-4A5C-976F-8EAC2B608ADB}">
              <a16:predDERef xmlns:a16="http://schemas.microsoft.com/office/drawing/2014/main" pred="{8E41C308-6FAB-AEBE-9F7A-758702586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47625</xdr:colOff>
      <xdr:row>79</xdr:row>
      <xdr:rowOff>0</xdr:rowOff>
    </xdr:from>
    <xdr:to>
      <xdr:col>14</xdr:col>
      <xdr:colOff>352425</xdr:colOff>
      <xdr:row>93</xdr:row>
      <xdr:rowOff>76200</xdr:rowOff>
    </xdr:to>
    <xdr:graphicFrame macro="">
      <xdr:nvGraphicFramePr>
        <xdr:cNvPr id="21" name="Chart 20">
          <a:extLst>
            <a:ext uri="{FF2B5EF4-FFF2-40B4-BE49-F238E27FC236}">
              <a16:creationId xmlns:a16="http://schemas.microsoft.com/office/drawing/2014/main" id="{6B27C38D-D2C7-81E1-9D76-B12D2D58C97D}"/>
            </a:ext>
            <a:ext uri="{147F2762-F138-4A5C-976F-8EAC2B608ADB}">
              <a16:predDERef xmlns:a16="http://schemas.microsoft.com/office/drawing/2014/main" pred="{E68FF3C1-95CF-7EB6-73FB-520C7CFFB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447675</xdr:colOff>
      <xdr:row>79</xdr:row>
      <xdr:rowOff>0</xdr:rowOff>
    </xdr:from>
    <xdr:to>
      <xdr:col>22</xdr:col>
      <xdr:colOff>142875</xdr:colOff>
      <xdr:row>93</xdr:row>
      <xdr:rowOff>76200</xdr:rowOff>
    </xdr:to>
    <xdr:graphicFrame macro="">
      <xdr:nvGraphicFramePr>
        <xdr:cNvPr id="22" name="Chart 21">
          <a:extLst>
            <a:ext uri="{FF2B5EF4-FFF2-40B4-BE49-F238E27FC236}">
              <a16:creationId xmlns:a16="http://schemas.microsoft.com/office/drawing/2014/main" id="{0A57337F-009F-3277-B432-4EF20C708636}"/>
            </a:ext>
            <a:ext uri="{147F2762-F138-4A5C-976F-8EAC2B608ADB}">
              <a16:predDERef xmlns:a16="http://schemas.microsoft.com/office/drawing/2014/main" pred="{6B27C38D-D2C7-81E1-9D76-B12D2D58C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57150</xdr:colOff>
      <xdr:row>93</xdr:row>
      <xdr:rowOff>171450</xdr:rowOff>
    </xdr:from>
    <xdr:to>
      <xdr:col>14</xdr:col>
      <xdr:colOff>361950</xdr:colOff>
      <xdr:row>108</xdr:row>
      <xdr:rowOff>57150</xdr:rowOff>
    </xdr:to>
    <xdr:graphicFrame macro="">
      <xdr:nvGraphicFramePr>
        <xdr:cNvPr id="24" name="Chart 23">
          <a:extLst>
            <a:ext uri="{FF2B5EF4-FFF2-40B4-BE49-F238E27FC236}">
              <a16:creationId xmlns:a16="http://schemas.microsoft.com/office/drawing/2014/main" id="{41ED7363-783B-D9E1-B85A-7C16C23038E6}"/>
            </a:ext>
            <a:ext uri="{147F2762-F138-4A5C-976F-8EAC2B608ADB}">
              <a16:predDERef xmlns:a16="http://schemas.microsoft.com/office/drawing/2014/main" pred="{0A57337F-009F-3277-B432-4EF20C708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428625</xdr:colOff>
      <xdr:row>93</xdr:row>
      <xdr:rowOff>152400</xdr:rowOff>
    </xdr:from>
    <xdr:to>
      <xdr:col>22</xdr:col>
      <xdr:colOff>123825</xdr:colOff>
      <xdr:row>108</xdr:row>
      <xdr:rowOff>38100</xdr:rowOff>
    </xdr:to>
    <xdr:graphicFrame macro="">
      <xdr:nvGraphicFramePr>
        <xdr:cNvPr id="25" name="Chart 24">
          <a:extLst>
            <a:ext uri="{FF2B5EF4-FFF2-40B4-BE49-F238E27FC236}">
              <a16:creationId xmlns:a16="http://schemas.microsoft.com/office/drawing/2014/main" id="{524D52E3-6D0C-FDE7-EE7C-3C9CF36F7AF1}"/>
            </a:ext>
            <a:ext uri="{147F2762-F138-4A5C-976F-8EAC2B608ADB}">
              <a16:predDERef xmlns:a16="http://schemas.microsoft.com/office/drawing/2014/main" pred="{41ED7363-783B-D9E1-B85A-7C16C2303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685800</xdr:colOff>
      <xdr:row>108</xdr:row>
      <xdr:rowOff>133350</xdr:rowOff>
    </xdr:from>
    <xdr:to>
      <xdr:col>14</xdr:col>
      <xdr:colOff>295275</xdr:colOff>
      <xdr:row>123</xdr:row>
      <xdr:rowOff>19050</xdr:rowOff>
    </xdr:to>
    <xdr:graphicFrame macro="">
      <xdr:nvGraphicFramePr>
        <xdr:cNvPr id="27" name="Chart 26">
          <a:extLst>
            <a:ext uri="{FF2B5EF4-FFF2-40B4-BE49-F238E27FC236}">
              <a16:creationId xmlns:a16="http://schemas.microsoft.com/office/drawing/2014/main" id="{2C80D7D2-46C7-2427-E9A0-D0AA360FC035}"/>
            </a:ext>
            <a:ext uri="{147F2762-F138-4A5C-976F-8EAC2B608ADB}">
              <a16:predDERef xmlns:a16="http://schemas.microsoft.com/office/drawing/2014/main" pred="{524D52E3-6D0C-FDE7-EE7C-3C9CF36F7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19050</xdr:colOff>
      <xdr:row>123</xdr:row>
      <xdr:rowOff>114300</xdr:rowOff>
    </xdr:from>
    <xdr:to>
      <xdr:col>14</xdr:col>
      <xdr:colOff>323850</xdr:colOff>
      <xdr:row>138</xdr:row>
      <xdr:rowOff>0</xdr:rowOff>
    </xdr:to>
    <xdr:graphicFrame macro="">
      <xdr:nvGraphicFramePr>
        <xdr:cNvPr id="29" name="Chart 28">
          <a:extLst>
            <a:ext uri="{FF2B5EF4-FFF2-40B4-BE49-F238E27FC236}">
              <a16:creationId xmlns:a16="http://schemas.microsoft.com/office/drawing/2014/main" id="{BC67EAAE-7A6D-27E7-23CD-215EB0470D21}"/>
            </a:ext>
            <a:ext uri="{147F2762-F138-4A5C-976F-8EAC2B608ADB}">
              <a16:predDERef xmlns:a16="http://schemas.microsoft.com/office/drawing/2014/main" pred="{2C80D7D2-46C7-2427-E9A0-D0AA360FC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409575</xdr:colOff>
      <xdr:row>123</xdr:row>
      <xdr:rowOff>104775</xdr:rowOff>
    </xdr:from>
    <xdr:to>
      <xdr:col>22</xdr:col>
      <xdr:colOff>104775</xdr:colOff>
      <xdr:row>137</xdr:row>
      <xdr:rowOff>180975</xdr:rowOff>
    </xdr:to>
    <xdr:graphicFrame macro="">
      <xdr:nvGraphicFramePr>
        <xdr:cNvPr id="30" name="Chart 29">
          <a:extLst>
            <a:ext uri="{FF2B5EF4-FFF2-40B4-BE49-F238E27FC236}">
              <a16:creationId xmlns:a16="http://schemas.microsoft.com/office/drawing/2014/main" id="{AE314BCB-387F-0F4B-6362-3EBF5A1E0551}"/>
            </a:ext>
            <a:ext uri="{147F2762-F138-4A5C-976F-8EAC2B608ADB}">
              <a16:predDERef xmlns:a16="http://schemas.microsoft.com/office/drawing/2014/main" pred="{BC67EAAE-7A6D-27E7-23CD-215EB0470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38100</xdr:colOff>
      <xdr:row>138</xdr:row>
      <xdr:rowOff>76200</xdr:rowOff>
    </xdr:from>
    <xdr:to>
      <xdr:col>14</xdr:col>
      <xdr:colOff>342900</xdr:colOff>
      <xdr:row>152</xdr:row>
      <xdr:rowOff>152400</xdr:rowOff>
    </xdr:to>
    <xdr:graphicFrame macro="">
      <xdr:nvGraphicFramePr>
        <xdr:cNvPr id="31" name="Chart 30">
          <a:extLst>
            <a:ext uri="{FF2B5EF4-FFF2-40B4-BE49-F238E27FC236}">
              <a16:creationId xmlns:a16="http://schemas.microsoft.com/office/drawing/2014/main" id="{E9C38732-FCB9-956A-F0D7-80F0B0DE82BB}"/>
            </a:ext>
            <a:ext uri="{147F2762-F138-4A5C-976F-8EAC2B608ADB}">
              <a16:predDERef xmlns:a16="http://schemas.microsoft.com/office/drawing/2014/main" pred="{AE314BCB-387F-0F4B-6362-3EBF5A1E0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428625</xdr:colOff>
      <xdr:row>138</xdr:row>
      <xdr:rowOff>57150</xdr:rowOff>
    </xdr:from>
    <xdr:to>
      <xdr:col>22</xdr:col>
      <xdr:colOff>123825</xdr:colOff>
      <xdr:row>152</xdr:row>
      <xdr:rowOff>133350</xdr:rowOff>
    </xdr:to>
    <xdr:graphicFrame macro="">
      <xdr:nvGraphicFramePr>
        <xdr:cNvPr id="32" name="Chart 31">
          <a:extLst>
            <a:ext uri="{FF2B5EF4-FFF2-40B4-BE49-F238E27FC236}">
              <a16:creationId xmlns:a16="http://schemas.microsoft.com/office/drawing/2014/main" id="{266788CB-32AE-2E46-DA2E-7728538B5EE9}"/>
            </a:ext>
            <a:ext uri="{147F2762-F138-4A5C-976F-8EAC2B608ADB}">
              <a16:predDERef xmlns:a16="http://schemas.microsoft.com/office/drawing/2014/main" pred="{E9C38732-FCB9-956A-F0D7-80F0B0DE8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152400</xdr:colOff>
      <xdr:row>0</xdr:row>
      <xdr:rowOff>0</xdr:rowOff>
    </xdr:from>
    <xdr:to>
      <xdr:col>12</xdr:col>
      <xdr:colOff>200025</xdr:colOff>
      <xdr:row>3</xdr:row>
      <xdr:rowOff>9525</xdr:rowOff>
    </xdr:to>
    <xdr:sp macro="" textlink="">
      <xdr:nvSpPr>
        <xdr:cNvPr id="33" name="TextBox 32">
          <a:extLst>
            <a:ext uri="{FF2B5EF4-FFF2-40B4-BE49-F238E27FC236}">
              <a16:creationId xmlns:a16="http://schemas.microsoft.com/office/drawing/2014/main" id="{70922268-530C-17D9-AFAE-C0137E8F43F2}"/>
            </a:ext>
            <a:ext uri="{147F2762-F138-4A5C-976F-8EAC2B608ADB}">
              <a16:predDERef xmlns:a16="http://schemas.microsoft.com/office/drawing/2014/main" pred="{266788CB-32AE-2E46-DA2E-7728538B5EE9}"/>
            </a:ext>
          </a:extLst>
        </xdr:cNvPr>
        <xdr:cNvSpPr txBox="1"/>
      </xdr:nvSpPr>
      <xdr:spPr>
        <a:xfrm>
          <a:off x="2743200" y="0"/>
          <a:ext cx="5791200" cy="5810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000" b="0" i="0" u="none" strike="noStrike">
              <a:solidFill>
                <a:srgbClr val="000000"/>
              </a:solidFill>
              <a:latin typeface="Calibri" panose="020F0502020204030204" pitchFamily="34" charset="0"/>
              <a:cs typeface="Calibri" panose="020F0502020204030204" pitchFamily="34" charset="0"/>
            </a:rPr>
            <a:t>Analytics of Students who Received the </a:t>
          </a:r>
          <a:r>
            <a:rPr lang="en-US" sz="2000" b="0" i="0" u="none" strike="noStrike">
              <a:solidFill>
                <a:srgbClr val="FF0000"/>
              </a:solidFill>
              <a:latin typeface="Calibri" panose="020F0502020204030204" pitchFamily="34" charset="0"/>
              <a:cs typeface="Calibri" panose="020F0502020204030204" pitchFamily="34" charset="0"/>
            </a:rPr>
            <a:t>Median Score</a:t>
          </a:r>
        </a:p>
      </xdr:txBody>
    </xdr:sp>
    <xdr:clientData/>
  </xdr:twoCellAnchor>
  <xdr:twoCellAnchor>
    <xdr:from>
      <xdr:col>22</xdr:col>
      <xdr:colOff>200025</xdr:colOff>
      <xdr:row>3</xdr:row>
      <xdr:rowOff>152400</xdr:rowOff>
    </xdr:from>
    <xdr:to>
      <xdr:col>29</xdr:col>
      <xdr:colOff>57150</xdr:colOff>
      <xdr:row>8</xdr:row>
      <xdr:rowOff>9525</xdr:rowOff>
    </xdr:to>
    <xdr:sp macro="" textlink="">
      <xdr:nvSpPr>
        <xdr:cNvPr id="4" name="TextBox 3">
          <a:extLst>
            <a:ext uri="{FF2B5EF4-FFF2-40B4-BE49-F238E27FC236}">
              <a16:creationId xmlns:a16="http://schemas.microsoft.com/office/drawing/2014/main" id="{D3858235-C616-6930-35BC-764A4E12CE5D}"/>
            </a:ext>
            <a:ext uri="{147F2762-F138-4A5C-976F-8EAC2B608ADB}">
              <a16:predDERef xmlns:a16="http://schemas.microsoft.com/office/drawing/2014/main" pred="{70922268-530C-17D9-AFAE-C0137E8F43F2}"/>
            </a:ext>
          </a:extLst>
        </xdr:cNvPr>
        <xdr:cNvSpPr txBox="1"/>
      </xdr:nvSpPr>
      <xdr:spPr>
        <a:xfrm>
          <a:off x="14630400" y="723900"/>
          <a:ext cx="4124325" cy="8096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These charts show that the girls generally spent more time studying. more girls spent 5 to 10 hours studying and the only ones to spend over 10 hours studying were girls. </a:t>
          </a:r>
        </a:p>
      </xdr:txBody>
    </xdr:sp>
    <xdr:clientData/>
  </xdr:twoCellAnchor>
  <xdr:twoCellAnchor>
    <xdr:from>
      <xdr:col>22</xdr:col>
      <xdr:colOff>333375</xdr:colOff>
      <xdr:row>19</xdr:row>
      <xdr:rowOff>19050</xdr:rowOff>
    </xdr:from>
    <xdr:to>
      <xdr:col>29</xdr:col>
      <xdr:colOff>228600</xdr:colOff>
      <xdr:row>23</xdr:row>
      <xdr:rowOff>161925</xdr:rowOff>
    </xdr:to>
    <xdr:sp macro="" textlink="">
      <xdr:nvSpPr>
        <xdr:cNvPr id="10" name="TextBox 9">
          <a:extLst>
            <a:ext uri="{FF2B5EF4-FFF2-40B4-BE49-F238E27FC236}">
              <a16:creationId xmlns:a16="http://schemas.microsoft.com/office/drawing/2014/main" id="{DDA6414F-91B0-0780-15EB-E97DE901B30F}"/>
            </a:ext>
            <a:ext uri="{147F2762-F138-4A5C-976F-8EAC2B608ADB}">
              <a16:predDERef xmlns:a16="http://schemas.microsoft.com/office/drawing/2014/main" pred="{D3858235-C616-6930-35BC-764A4E12CE5D}"/>
            </a:ext>
          </a:extLst>
        </xdr:cNvPr>
        <xdr:cNvSpPr txBox="1"/>
      </xdr:nvSpPr>
      <xdr:spPr>
        <a:xfrm>
          <a:off x="14763750" y="3638550"/>
          <a:ext cx="4162425" cy="9048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More fathers of the girls worked in civil services and the only fathers tto work in health care were fathers of the girls. 2/3 of the fathers of the boys worked in the 'other' category while less than half of the girls' fathers worked in the same category.</a:t>
          </a:r>
        </a:p>
      </xdr:txBody>
    </xdr:sp>
    <xdr:clientData/>
  </xdr:twoCellAnchor>
  <xdr:twoCellAnchor>
    <xdr:from>
      <xdr:col>22</xdr:col>
      <xdr:colOff>238125</xdr:colOff>
      <xdr:row>34</xdr:row>
      <xdr:rowOff>0</xdr:rowOff>
    </xdr:from>
    <xdr:to>
      <xdr:col>29</xdr:col>
      <xdr:colOff>295275</xdr:colOff>
      <xdr:row>38</xdr:row>
      <xdr:rowOff>85725</xdr:rowOff>
    </xdr:to>
    <xdr:sp macro="" textlink="">
      <xdr:nvSpPr>
        <xdr:cNvPr id="14" name="TextBox 13">
          <a:extLst>
            <a:ext uri="{FF2B5EF4-FFF2-40B4-BE49-F238E27FC236}">
              <a16:creationId xmlns:a16="http://schemas.microsoft.com/office/drawing/2014/main" id="{86DEEE52-DD96-D3CB-44A5-9A2D9EDFE7E1}"/>
            </a:ext>
            <a:ext uri="{147F2762-F138-4A5C-976F-8EAC2B608ADB}">
              <a16:predDERef xmlns:a16="http://schemas.microsoft.com/office/drawing/2014/main" pred="{DDA6414F-91B0-0780-15EB-E97DE901B30F}"/>
            </a:ext>
          </a:extLst>
        </xdr:cNvPr>
        <xdr:cNvSpPr txBox="1"/>
      </xdr:nvSpPr>
      <xdr:spPr>
        <a:xfrm>
          <a:off x="14668500" y="6477000"/>
          <a:ext cx="4324350" cy="8477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careers of the mothers is relatively consistent between boys and girls. The only difference being that a small portion of the mothers of the girls were stay at home mothers and none of the boys' mothers were stay at home moms, instead beocming teachers. </a:t>
          </a:r>
        </a:p>
      </xdr:txBody>
    </xdr:sp>
    <xdr:clientData/>
  </xdr:twoCellAnchor>
  <xdr:twoCellAnchor>
    <xdr:from>
      <xdr:col>22</xdr:col>
      <xdr:colOff>200025</xdr:colOff>
      <xdr:row>49</xdr:row>
      <xdr:rowOff>123825</xdr:rowOff>
    </xdr:from>
    <xdr:to>
      <xdr:col>29</xdr:col>
      <xdr:colOff>428625</xdr:colOff>
      <xdr:row>57</xdr:row>
      <xdr:rowOff>161925</xdr:rowOff>
    </xdr:to>
    <xdr:sp macro="" textlink="">
      <xdr:nvSpPr>
        <xdr:cNvPr id="15" name="TextBox 14">
          <a:extLst>
            <a:ext uri="{FF2B5EF4-FFF2-40B4-BE49-F238E27FC236}">
              <a16:creationId xmlns:a16="http://schemas.microsoft.com/office/drawing/2014/main" id="{A47883E6-8C7C-466F-6290-22A2DAE5C857}"/>
            </a:ext>
            <a:ext uri="{147F2762-F138-4A5C-976F-8EAC2B608ADB}">
              <a16:predDERef xmlns:a16="http://schemas.microsoft.com/office/drawing/2014/main" pred="{86DEEE52-DD96-D3CB-44A5-9A2D9EDFE7E1}"/>
            </a:ext>
          </a:extLst>
        </xdr:cNvPr>
        <xdr:cNvSpPr txBox="1"/>
      </xdr:nvSpPr>
      <xdr:spPr>
        <a:xfrm>
          <a:off x="14630400" y="9458325"/>
          <a:ext cx="4495800" cy="15621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FF0000"/>
              </a:solidFill>
              <a:latin typeface="Calibri" panose="020F0502020204030204" pitchFamily="34" charset="0"/>
              <a:cs typeface="Calibri" panose="020F0502020204030204" pitchFamily="34" charset="0"/>
            </a:rPr>
            <a:t>More than 40% of the fathers of the boys dropped out of school before even reaching high school. About 40% of the fathers of the boys received a high school education while only a little over 15% went on to get a higher education. A little over half of the fathers of the girls dropped out of school before 9th grade. More than twice as many of them went on to pursue higher educations as compared to the fathers of the boys. This may be part of the reason why 60% of the students who scored the median were girls, as well as the fact that more girls were surveyed. </a:t>
          </a:r>
        </a:p>
      </xdr:txBody>
    </xdr:sp>
    <xdr:clientData/>
  </xdr:twoCellAnchor>
  <xdr:twoCellAnchor>
    <xdr:from>
      <xdr:col>22</xdr:col>
      <xdr:colOff>228600</xdr:colOff>
      <xdr:row>64</xdr:row>
      <xdr:rowOff>0</xdr:rowOff>
    </xdr:from>
    <xdr:to>
      <xdr:col>29</xdr:col>
      <xdr:colOff>447675</xdr:colOff>
      <xdr:row>74</xdr:row>
      <xdr:rowOff>0</xdr:rowOff>
    </xdr:to>
    <xdr:sp macro="" textlink="">
      <xdr:nvSpPr>
        <xdr:cNvPr id="16" name="TextBox 15">
          <a:extLst>
            <a:ext uri="{FF2B5EF4-FFF2-40B4-BE49-F238E27FC236}">
              <a16:creationId xmlns:a16="http://schemas.microsoft.com/office/drawing/2014/main" id="{EAEAE4FA-524F-5FA3-989C-8ACA16F909BE}"/>
            </a:ext>
            <a:ext uri="{147F2762-F138-4A5C-976F-8EAC2B608ADB}">
              <a16:predDERef xmlns:a16="http://schemas.microsoft.com/office/drawing/2014/main" pred="{A47883E6-8C7C-466F-6290-22A2DAE5C857}"/>
            </a:ext>
          </a:extLst>
        </xdr:cNvPr>
        <xdr:cNvSpPr txBox="1"/>
      </xdr:nvSpPr>
      <xdr:spPr>
        <a:xfrm>
          <a:off x="14658975" y="12192000"/>
          <a:ext cx="4486275" cy="19050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FF0000"/>
              </a:solidFill>
              <a:latin typeface="Calibri" panose="020F0502020204030204" pitchFamily="34" charset="0"/>
              <a:cs typeface="Calibri" panose="020F0502020204030204" pitchFamily="34" charset="0"/>
            </a:rPr>
            <a:t>Almost 45% of the mothers of both the boys and girls dropped out of school before 9th grade. About 40% of the mothers of the boys went on to get a higher education where only about 25% of the mothers of the boys did the same, the would-be college grads seemingly opting for a high school diploma instead. There is also a high probability, judging by these stats, that there could be families where both the father and the mother don't even have a high school education. It is less likely here though than it is within the students whom scored zero. More than twice as many of the mothers of the boys went to college than the fathers of the boys.</a:t>
          </a:r>
          <a:r>
            <a:rPr lang="en-US" sz="1100" b="0" i="0" u="none" strike="noStrike">
              <a:solidFill>
                <a:srgbClr val="000000"/>
              </a:solidFill>
              <a:latin typeface="Calibri" panose="020F0502020204030204" pitchFamily="34" charset="0"/>
              <a:cs typeface="Calibri" panose="020F0502020204030204" pitchFamily="34" charset="0"/>
            </a:rPr>
            <a:t> </a:t>
          </a:r>
        </a:p>
      </xdr:txBody>
    </xdr:sp>
    <xdr:clientData/>
  </xdr:twoCellAnchor>
  <xdr:twoCellAnchor>
    <xdr:from>
      <xdr:col>22</xdr:col>
      <xdr:colOff>276225</xdr:colOff>
      <xdr:row>78</xdr:row>
      <xdr:rowOff>180975</xdr:rowOff>
    </xdr:from>
    <xdr:to>
      <xdr:col>29</xdr:col>
      <xdr:colOff>457200</xdr:colOff>
      <xdr:row>84</xdr:row>
      <xdr:rowOff>142875</xdr:rowOff>
    </xdr:to>
    <xdr:sp macro="" textlink="">
      <xdr:nvSpPr>
        <xdr:cNvPr id="17" name="TextBox 16">
          <a:extLst>
            <a:ext uri="{FF2B5EF4-FFF2-40B4-BE49-F238E27FC236}">
              <a16:creationId xmlns:a16="http://schemas.microsoft.com/office/drawing/2014/main" id="{B9CB92B9-CD83-C58A-1C78-2211AD6768D2}"/>
            </a:ext>
            <a:ext uri="{147F2762-F138-4A5C-976F-8EAC2B608ADB}">
              <a16:predDERef xmlns:a16="http://schemas.microsoft.com/office/drawing/2014/main" pred="{EAEAE4FA-524F-5FA3-989C-8ACA16F909BE}"/>
            </a:ext>
          </a:extLst>
        </xdr:cNvPr>
        <xdr:cNvSpPr txBox="1"/>
      </xdr:nvSpPr>
      <xdr:spPr>
        <a:xfrm>
          <a:off x="14706600" y="15039975"/>
          <a:ext cx="4448175" cy="11049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All of the boys had internet access where almost a quarter of the girls did not. More of the girls' parents were separated but still less than a quarter of the parents of the girls in total. The girls missed almost twice as many days as the boys which may have contributed to the overall performane. The rest of the data is consistent between boys and girls and nothing alarming sticks out from the totals. </a:t>
          </a:r>
        </a:p>
      </xdr:txBody>
    </xdr:sp>
    <xdr:clientData/>
  </xdr:twoCellAnchor>
  <xdr:twoCellAnchor>
    <xdr:from>
      <xdr:col>14</xdr:col>
      <xdr:colOff>419100</xdr:colOff>
      <xdr:row>108</xdr:row>
      <xdr:rowOff>114300</xdr:rowOff>
    </xdr:from>
    <xdr:to>
      <xdr:col>22</xdr:col>
      <xdr:colOff>114300</xdr:colOff>
      <xdr:row>123</xdr:row>
      <xdr:rowOff>0</xdr:rowOff>
    </xdr:to>
    <xdr:graphicFrame macro="">
      <xdr:nvGraphicFramePr>
        <xdr:cNvPr id="18" name="Chart 17">
          <a:extLst>
            <a:ext uri="{FF2B5EF4-FFF2-40B4-BE49-F238E27FC236}">
              <a16:creationId xmlns:a16="http://schemas.microsoft.com/office/drawing/2014/main" id="{A23D43A3-388E-1BC3-154A-4A968CCAA7FA}"/>
            </a:ext>
            <a:ext uri="{147F2762-F138-4A5C-976F-8EAC2B608ADB}">
              <a16:predDERef xmlns:a16="http://schemas.microsoft.com/office/drawing/2014/main" pred="{B9CB92B9-CD83-C58A-1C78-2211AD676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200025</xdr:colOff>
      <xdr:row>0</xdr:row>
      <xdr:rowOff>0</xdr:rowOff>
    </xdr:from>
    <xdr:to>
      <xdr:col>10</xdr:col>
      <xdr:colOff>123825</xdr:colOff>
      <xdr:row>2</xdr:row>
      <xdr:rowOff>142875</xdr:rowOff>
    </xdr:to>
    <xdr:sp macro="" textlink="">
      <xdr:nvSpPr>
        <xdr:cNvPr id="2" name="TextBox 1">
          <a:extLst>
            <a:ext uri="{FF2B5EF4-FFF2-40B4-BE49-F238E27FC236}">
              <a16:creationId xmlns:a16="http://schemas.microsoft.com/office/drawing/2014/main" id="{E342126B-6B49-34AD-86F2-4A57F18F3159}"/>
            </a:ext>
          </a:extLst>
        </xdr:cNvPr>
        <xdr:cNvSpPr txBox="1"/>
      </xdr:nvSpPr>
      <xdr:spPr>
        <a:xfrm>
          <a:off x="2447925" y="0"/>
          <a:ext cx="4743450" cy="5238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000" b="0" i="0" u="none" strike="noStrike">
              <a:solidFill>
                <a:srgbClr val="000000"/>
              </a:solidFill>
              <a:latin typeface="Calibri" panose="020F0502020204030204" pitchFamily="34" charset="0"/>
              <a:cs typeface="Calibri" panose="020F0502020204030204" pitchFamily="34" charset="0"/>
            </a:rPr>
            <a:t>Analytics of Kids who Got the </a:t>
          </a:r>
          <a:r>
            <a:rPr lang="en-US" sz="2000" b="0" i="0" u="none" strike="noStrike">
              <a:solidFill>
                <a:srgbClr val="FF0000"/>
              </a:solidFill>
              <a:latin typeface="Calibri" panose="020F0502020204030204" pitchFamily="34" charset="0"/>
              <a:cs typeface="Calibri" panose="020F0502020204030204" pitchFamily="34" charset="0"/>
            </a:rPr>
            <a:t>Max Score</a:t>
          </a:r>
        </a:p>
      </xdr:txBody>
    </xdr:sp>
    <xdr:clientData/>
  </xdr:twoCellAnchor>
  <xdr:twoCellAnchor>
    <xdr:from>
      <xdr:col>8</xdr:col>
      <xdr:colOff>171450</xdr:colOff>
      <xdr:row>3</xdr:row>
      <xdr:rowOff>180975</xdr:rowOff>
    </xdr:from>
    <xdr:to>
      <xdr:col>18</xdr:col>
      <xdr:colOff>419100</xdr:colOff>
      <xdr:row>12</xdr:row>
      <xdr:rowOff>57150</xdr:rowOff>
    </xdr:to>
    <xdr:sp macro="" textlink="">
      <xdr:nvSpPr>
        <xdr:cNvPr id="3" name="TextBox 2">
          <a:extLst>
            <a:ext uri="{FF2B5EF4-FFF2-40B4-BE49-F238E27FC236}">
              <a16:creationId xmlns:a16="http://schemas.microsoft.com/office/drawing/2014/main" id="{99614A99-5153-706B-CD0B-56B746139A2A}"/>
            </a:ext>
            <a:ext uri="{147F2762-F138-4A5C-976F-8EAC2B608ADB}">
              <a16:predDERef xmlns:a16="http://schemas.microsoft.com/office/drawing/2014/main" pred="{E342126B-6B49-34AD-86F2-4A57F18F3159}"/>
            </a:ext>
          </a:extLst>
        </xdr:cNvPr>
        <xdr:cNvSpPr txBox="1"/>
      </xdr:nvSpPr>
      <xdr:spPr>
        <a:xfrm>
          <a:off x="6019800" y="752475"/>
          <a:ext cx="6343650" cy="15906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Only one student scored a perfect 20 out of 20. That student was a 16 year old male who spent over 10 hours a week studying. His father worked in civil services with a high school education while his mother worked in health care with a college education. He was in after school activities and was not in a relationship at the time of this survey. </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This data is unsurprising.  He lived a seemingly healthy life with both parents having a high school education or above. He also studied more than 10 hours a week and was not in a relationship which allowed him to focus on his school work. This stability allowed him to perform much better than his fellow peers.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66675</xdr:rowOff>
    </xdr:from>
    <xdr:to>
      <xdr:col>7</xdr:col>
      <xdr:colOff>600075</xdr:colOff>
      <xdr:row>2</xdr:row>
      <xdr:rowOff>142875</xdr:rowOff>
    </xdr:to>
    <xdr:sp macro="" textlink="">
      <xdr:nvSpPr>
        <xdr:cNvPr id="2" name="TextBox 1">
          <a:extLst>
            <a:ext uri="{FF2B5EF4-FFF2-40B4-BE49-F238E27FC236}">
              <a16:creationId xmlns:a16="http://schemas.microsoft.com/office/drawing/2014/main" id="{B64E7D13-99A1-EA35-EA5B-47420F230870}"/>
            </a:ext>
          </a:extLst>
        </xdr:cNvPr>
        <xdr:cNvSpPr txBox="1"/>
      </xdr:nvSpPr>
      <xdr:spPr>
        <a:xfrm>
          <a:off x="38100" y="66675"/>
          <a:ext cx="5505450" cy="4572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000" b="0" i="0" u="none" strike="noStrike">
              <a:solidFill>
                <a:srgbClr val="000000"/>
              </a:solidFill>
              <a:latin typeface="Calibri" panose="020F0502020204030204" pitchFamily="34" charset="0"/>
              <a:cs typeface="Calibri" panose="020F0502020204030204" pitchFamily="34" charset="0"/>
            </a:rPr>
            <a:t>Comparison of the </a:t>
          </a:r>
          <a:r>
            <a:rPr lang="en-US" sz="2000" b="0" i="0" u="none" strike="noStrike">
              <a:solidFill>
                <a:srgbClr val="FF0000"/>
              </a:solidFill>
              <a:latin typeface="Calibri" panose="020F0502020204030204" pitchFamily="34" charset="0"/>
              <a:cs typeface="Calibri" panose="020F0502020204030204" pitchFamily="34" charset="0"/>
            </a:rPr>
            <a:t>Min</a:t>
          </a:r>
          <a:r>
            <a:rPr lang="en-US" sz="2000" b="0" i="0" u="none" strike="noStrike">
              <a:solidFill>
                <a:srgbClr val="000000"/>
              </a:solidFill>
              <a:latin typeface="Calibri" panose="020F0502020204030204" pitchFamily="34" charset="0"/>
              <a:cs typeface="Calibri" panose="020F0502020204030204" pitchFamily="34" charset="0"/>
            </a:rPr>
            <a:t>, </a:t>
          </a:r>
          <a:r>
            <a:rPr lang="en-US" sz="2000" b="0" i="0" u="none" strike="noStrike">
              <a:solidFill>
                <a:srgbClr val="FF0000"/>
              </a:solidFill>
              <a:latin typeface="Calibri" panose="020F0502020204030204" pitchFamily="34" charset="0"/>
              <a:cs typeface="Calibri" panose="020F0502020204030204" pitchFamily="34" charset="0"/>
            </a:rPr>
            <a:t>Median</a:t>
          </a:r>
          <a:r>
            <a:rPr lang="en-US" sz="2000" b="0" i="0" u="none" strike="noStrike">
              <a:solidFill>
                <a:srgbClr val="000000"/>
              </a:solidFill>
              <a:latin typeface="Calibri" panose="020F0502020204030204" pitchFamily="34" charset="0"/>
              <a:cs typeface="Calibri" panose="020F0502020204030204" pitchFamily="34" charset="0"/>
            </a:rPr>
            <a:t>, and </a:t>
          </a:r>
          <a:r>
            <a:rPr lang="en-US" sz="2000" b="0" i="0" u="none" strike="noStrike">
              <a:solidFill>
                <a:srgbClr val="FF0000"/>
              </a:solidFill>
              <a:latin typeface="Calibri" panose="020F0502020204030204" pitchFamily="34" charset="0"/>
              <a:cs typeface="Calibri" panose="020F0502020204030204" pitchFamily="34" charset="0"/>
            </a:rPr>
            <a:t>Max scores</a:t>
          </a:r>
        </a:p>
      </xdr:txBody>
    </xdr:sp>
    <xdr:clientData/>
  </xdr:twoCellAnchor>
  <xdr:twoCellAnchor>
    <xdr:from>
      <xdr:col>0</xdr:col>
      <xdr:colOff>0</xdr:colOff>
      <xdr:row>13</xdr:row>
      <xdr:rowOff>76200</xdr:rowOff>
    </xdr:from>
    <xdr:to>
      <xdr:col>6</xdr:col>
      <xdr:colOff>238125</xdr:colOff>
      <xdr:row>27</xdr:row>
      <xdr:rowOff>152400</xdr:rowOff>
    </xdr:to>
    <xdr:graphicFrame macro="">
      <xdr:nvGraphicFramePr>
        <xdr:cNvPr id="3" name="Chart 2">
          <a:extLst>
            <a:ext uri="{FF2B5EF4-FFF2-40B4-BE49-F238E27FC236}">
              <a16:creationId xmlns:a16="http://schemas.microsoft.com/office/drawing/2014/main" id="{914626BB-0186-4D26-87EE-120310BCDB2B}"/>
            </a:ext>
            <a:ext uri="{147F2762-F138-4A5C-976F-8EAC2B608ADB}">
              <a16:predDERef xmlns:a16="http://schemas.microsoft.com/office/drawing/2014/main" pred="{B64E7D13-99A1-EA35-EA5B-47420F230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28575</xdr:rowOff>
    </xdr:from>
    <xdr:to>
      <xdr:col>6</xdr:col>
      <xdr:colOff>238125</xdr:colOff>
      <xdr:row>42</xdr:row>
      <xdr:rowOff>104775</xdr:rowOff>
    </xdr:to>
    <xdr:graphicFrame macro="">
      <xdr:nvGraphicFramePr>
        <xdr:cNvPr id="4" name="Chart 3">
          <a:extLst>
            <a:ext uri="{FF2B5EF4-FFF2-40B4-BE49-F238E27FC236}">
              <a16:creationId xmlns:a16="http://schemas.microsoft.com/office/drawing/2014/main" id="{69E26F52-ECEB-43D5-865A-5D1C4F471F4E}"/>
            </a:ext>
            <a:ext uri="{147F2762-F138-4A5C-976F-8EAC2B608ADB}">
              <a16:predDERef xmlns:a16="http://schemas.microsoft.com/office/drawing/2014/main" pred="{914626BB-0186-4D26-87EE-120310BCD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13</xdr:row>
      <xdr:rowOff>76200</xdr:rowOff>
    </xdr:from>
    <xdr:to>
      <xdr:col>14</xdr:col>
      <xdr:colOff>238125</xdr:colOff>
      <xdr:row>27</xdr:row>
      <xdr:rowOff>152400</xdr:rowOff>
    </xdr:to>
    <xdr:graphicFrame macro="">
      <xdr:nvGraphicFramePr>
        <xdr:cNvPr id="5" name="Chart 4">
          <a:extLst>
            <a:ext uri="{FF2B5EF4-FFF2-40B4-BE49-F238E27FC236}">
              <a16:creationId xmlns:a16="http://schemas.microsoft.com/office/drawing/2014/main" id="{12E1FBEF-4CE9-489E-9C90-64687E6561B6}"/>
            </a:ext>
            <a:ext uri="{147F2762-F138-4A5C-976F-8EAC2B608ADB}">
              <a16:predDERef xmlns:a16="http://schemas.microsoft.com/office/drawing/2014/main" pred="{69E26F52-ECEB-43D5-865A-5D1C4F471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28</xdr:row>
      <xdr:rowOff>28575</xdr:rowOff>
    </xdr:from>
    <xdr:to>
      <xdr:col>14</xdr:col>
      <xdr:colOff>238125</xdr:colOff>
      <xdr:row>42</xdr:row>
      <xdr:rowOff>104775</xdr:rowOff>
    </xdr:to>
    <xdr:graphicFrame macro="">
      <xdr:nvGraphicFramePr>
        <xdr:cNvPr id="6" name="Chart 5">
          <a:extLst>
            <a:ext uri="{FF2B5EF4-FFF2-40B4-BE49-F238E27FC236}">
              <a16:creationId xmlns:a16="http://schemas.microsoft.com/office/drawing/2014/main" id="{558B1359-6065-42D5-95E5-F99437709153}"/>
            </a:ext>
            <a:ext uri="{147F2762-F138-4A5C-976F-8EAC2B608ADB}">
              <a16:predDERef xmlns:a16="http://schemas.microsoft.com/office/drawing/2014/main" pred="{12E1FBEF-4CE9-489E-9C90-64687E656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314325</xdr:colOff>
      <xdr:row>13</xdr:row>
      <xdr:rowOff>95250</xdr:rowOff>
    </xdr:from>
    <xdr:to>
      <xdr:col>19</xdr:col>
      <xdr:colOff>581025</xdr:colOff>
      <xdr:row>21</xdr:row>
      <xdr:rowOff>76200</xdr:rowOff>
    </xdr:to>
    <xdr:sp macro="" textlink="">
      <xdr:nvSpPr>
        <xdr:cNvPr id="7" name="TextBox 6">
          <a:extLst>
            <a:ext uri="{FF2B5EF4-FFF2-40B4-BE49-F238E27FC236}">
              <a16:creationId xmlns:a16="http://schemas.microsoft.com/office/drawing/2014/main" id="{54BF7ACD-C017-F2BA-F779-6E27F3DEEC68}"/>
            </a:ext>
            <a:ext uri="{147F2762-F138-4A5C-976F-8EAC2B608ADB}">
              <a16:predDERef xmlns:a16="http://schemas.microsoft.com/office/drawing/2014/main" pred="{558B1359-6065-42D5-95E5-F99437709153}"/>
            </a:ext>
          </a:extLst>
        </xdr:cNvPr>
        <xdr:cNvSpPr txBox="1"/>
      </xdr:nvSpPr>
      <xdr:spPr>
        <a:xfrm>
          <a:off x="10201275" y="2571750"/>
          <a:ext cx="3990975" cy="15049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majority of the boys who scored zero spent less than 2 hours studying. The boys who scored the median had a majority that studies 2 to 5 hours a week. The boy to score the max spent over 10 hours a week studying. This is an expected distribution curve. There was one boy who spent over 10 hours a week that still failed though. This is an anamoly. Either he exaggerated the amount of hours or he needs to be in a less difficult class. </a:t>
          </a:r>
        </a:p>
      </xdr:txBody>
    </xdr:sp>
    <xdr:clientData/>
  </xdr:twoCellAnchor>
  <xdr:twoCellAnchor>
    <xdr:from>
      <xdr:col>14</xdr:col>
      <xdr:colOff>285750</xdr:colOff>
      <xdr:row>28</xdr:row>
      <xdr:rowOff>38100</xdr:rowOff>
    </xdr:from>
    <xdr:to>
      <xdr:col>19</xdr:col>
      <xdr:colOff>466725</xdr:colOff>
      <xdr:row>34</xdr:row>
      <xdr:rowOff>152400</xdr:rowOff>
    </xdr:to>
    <xdr:sp macro="" textlink="">
      <xdr:nvSpPr>
        <xdr:cNvPr id="8" name="TextBox 7">
          <a:extLst>
            <a:ext uri="{FF2B5EF4-FFF2-40B4-BE49-F238E27FC236}">
              <a16:creationId xmlns:a16="http://schemas.microsoft.com/office/drawing/2014/main" id="{D655DCC4-1C4E-3F08-C231-FC55EA0F7AC8}"/>
            </a:ext>
            <a:ext uri="{147F2762-F138-4A5C-976F-8EAC2B608ADB}">
              <a16:predDERef xmlns:a16="http://schemas.microsoft.com/office/drawing/2014/main" pred="{54BF7ACD-C017-F2BA-F779-6E27F3DEEC68}"/>
            </a:ext>
          </a:extLst>
        </xdr:cNvPr>
        <xdr:cNvSpPr txBox="1"/>
      </xdr:nvSpPr>
      <xdr:spPr>
        <a:xfrm>
          <a:off x="10172700" y="5372100"/>
          <a:ext cx="3905250" cy="12573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amount of hours studying by girls hardly curves at all between these 2 charts. Nearly the same proportion of girls spent the same amount of hours studying in both categories. Also, about half of the girls who scored zero also studied from between 2 to 5 hours a week. This makes me believe that many of the girls who scored a zero exaggerated the amount of hours they spent studying. </a:t>
          </a:r>
        </a:p>
      </xdr:txBody>
    </xdr:sp>
    <xdr:clientData/>
  </xdr:twoCellAnchor>
  <xdr:twoCellAnchor>
    <xdr:from>
      <xdr:col>7</xdr:col>
      <xdr:colOff>600075</xdr:colOff>
      <xdr:row>67</xdr:row>
      <xdr:rowOff>28575</xdr:rowOff>
    </xdr:from>
    <xdr:to>
      <xdr:col>14</xdr:col>
      <xdr:colOff>228600</xdr:colOff>
      <xdr:row>81</xdr:row>
      <xdr:rowOff>104775</xdr:rowOff>
    </xdr:to>
    <xdr:graphicFrame macro="">
      <xdr:nvGraphicFramePr>
        <xdr:cNvPr id="10" name="Chart 9">
          <a:extLst>
            <a:ext uri="{FF2B5EF4-FFF2-40B4-BE49-F238E27FC236}">
              <a16:creationId xmlns:a16="http://schemas.microsoft.com/office/drawing/2014/main" id="{3F2D85BA-1BB7-4273-8AE3-B8EE5F24043F}"/>
            </a:ext>
            <a:ext uri="{147F2762-F138-4A5C-976F-8EAC2B608ADB}">
              <a16:predDERef xmlns:a16="http://schemas.microsoft.com/office/drawing/2014/main" pred="{D655DCC4-1C4E-3F08-C231-FC55EA0F7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52</xdr:row>
      <xdr:rowOff>76200</xdr:rowOff>
    </xdr:from>
    <xdr:to>
      <xdr:col>6</xdr:col>
      <xdr:colOff>238125</xdr:colOff>
      <xdr:row>66</xdr:row>
      <xdr:rowOff>152400</xdr:rowOff>
    </xdr:to>
    <xdr:graphicFrame macro="">
      <xdr:nvGraphicFramePr>
        <xdr:cNvPr id="11" name="Chart 10">
          <a:extLst>
            <a:ext uri="{FF2B5EF4-FFF2-40B4-BE49-F238E27FC236}">
              <a16:creationId xmlns:a16="http://schemas.microsoft.com/office/drawing/2014/main" id="{8920340A-2393-4555-981B-90D5FA4D9EB7}"/>
            </a:ext>
            <a:ext uri="{147F2762-F138-4A5C-976F-8EAC2B608ADB}">
              <a16:predDERef xmlns:a16="http://schemas.microsoft.com/office/drawing/2014/main" pred="{3F2D85BA-1BB7-4273-8AE3-B8EE5F240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67</xdr:row>
      <xdr:rowOff>28575</xdr:rowOff>
    </xdr:from>
    <xdr:to>
      <xdr:col>6</xdr:col>
      <xdr:colOff>238125</xdr:colOff>
      <xdr:row>81</xdr:row>
      <xdr:rowOff>104775</xdr:rowOff>
    </xdr:to>
    <xdr:graphicFrame macro="">
      <xdr:nvGraphicFramePr>
        <xdr:cNvPr id="12" name="Chart 11">
          <a:extLst>
            <a:ext uri="{FF2B5EF4-FFF2-40B4-BE49-F238E27FC236}">
              <a16:creationId xmlns:a16="http://schemas.microsoft.com/office/drawing/2014/main" id="{A24E6A3F-11C9-49A4-BF17-69EC888AC246}"/>
            </a:ext>
            <a:ext uri="{147F2762-F138-4A5C-976F-8EAC2B608ADB}">
              <a16:predDERef xmlns:a16="http://schemas.microsoft.com/office/drawing/2014/main" pred="{8920340A-2393-4555-981B-90D5FA4D9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600075</xdr:colOff>
      <xdr:row>52</xdr:row>
      <xdr:rowOff>76200</xdr:rowOff>
    </xdr:from>
    <xdr:to>
      <xdr:col>14</xdr:col>
      <xdr:colOff>228600</xdr:colOff>
      <xdr:row>66</xdr:row>
      <xdr:rowOff>152400</xdr:rowOff>
    </xdr:to>
    <xdr:graphicFrame macro="">
      <xdr:nvGraphicFramePr>
        <xdr:cNvPr id="13" name="Chart 12">
          <a:extLst>
            <a:ext uri="{FF2B5EF4-FFF2-40B4-BE49-F238E27FC236}">
              <a16:creationId xmlns:a16="http://schemas.microsoft.com/office/drawing/2014/main" id="{A01899FD-E8B7-43D3-B66B-BCA05D7457DE}"/>
            </a:ext>
            <a:ext uri="{147F2762-F138-4A5C-976F-8EAC2B608ADB}">
              <a16:predDERef xmlns:a16="http://schemas.microsoft.com/office/drawing/2014/main" pred="{A24E6A3F-11C9-49A4-BF17-69EC888AC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361950</xdr:colOff>
      <xdr:row>52</xdr:row>
      <xdr:rowOff>104775</xdr:rowOff>
    </xdr:from>
    <xdr:to>
      <xdr:col>19</xdr:col>
      <xdr:colOff>400050</xdr:colOff>
      <xdr:row>59</xdr:row>
      <xdr:rowOff>47625</xdr:rowOff>
    </xdr:to>
    <xdr:sp macro="" textlink="">
      <xdr:nvSpPr>
        <xdr:cNvPr id="14" name="TextBox 13">
          <a:extLst>
            <a:ext uri="{FF2B5EF4-FFF2-40B4-BE49-F238E27FC236}">
              <a16:creationId xmlns:a16="http://schemas.microsoft.com/office/drawing/2014/main" id="{4ACAA58E-3B24-4226-3738-E96FCD26B499}"/>
            </a:ext>
            <a:ext uri="{147F2762-F138-4A5C-976F-8EAC2B608ADB}">
              <a16:predDERef xmlns:a16="http://schemas.microsoft.com/office/drawing/2014/main" pred="{A01899FD-E8B7-43D3-B66B-BCA05D7457DE}"/>
            </a:ext>
          </a:extLst>
        </xdr:cNvPr>
        <xdr:cNvSpPr txBox="1"/>
      </xdr:nvSpPr>
      <xdr:spPr>
        <a:xfrm>
          <a:off x="10248900" y="10010775"/>
          <a:ext cx="3762375" cy="12763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Oddly, more of the fathers of the boys that failed went to college than the boys that scored the median. Other than that, it has an expected distribution. Less of the fathers dropped out before 5th grade in the median score relative to the minimum score, and more of them were able to get high school educations as well. </a:t>
          </a:r>
        </a:p>
      </xdr:txBody>
    </xdr:sp>
    <xdr:clientData/>
  </xdr:twoCellAnchor>
  <xdr:twoCellAnchor>
    <xdr:from>
      <xdr:col>14</xdr:col>
      <xdr:colOff>314325</xdr:colOff>
      <xdr:row>67</xdr:row>
      <xdr:rowOff>47625</xdr:rowOff>
    </xdr:from>
    <xdr:to>
      <xdr:col>19</xdr:col>
      <xdr:colOff>438150</xdr:colOff>
      <xdr:row>72</xdr:row>
      <xdr:rowOff>123825</xdr:rowOff>
    </xdr:to>
    <xdr:sp macro="" textlink="">
      <xdr:nvSpPr>
        <xdr:cNvPr id="15" name="TextBox 14">
          <a:extLst>
            <a:ext uri="{FF2B5EF4-FFF2-40B4-BE49-F238E27FC236}">
              <a16:creationId xmlns:a16="http://schemas.microsoft.com/office/drawing/2014/main" id="{357993D3-65CF-B8E1-C1B8-84C6996F3D6E}"/>
            </a:ext>
            <a:ext uri="{147F2762-F138-4A5C-976F-8EAC2B608ADB}">
              <a16:predDERef xmlns:a16="http://schemas.microsoft.com/office/drawing/2014/main" pred="{4ACAA58E-3B24-4226-3738-E96FCD26B499}"/>
            </a:ext>
          </a:extLst>
        </xdr:cNvPr>
        <xdr:cNvSpPr txBox="1"/>
      </xdr:nvSpPr>
      <xdr:spPr>
        <a:xfrm>
          <a:off x="10201275" y="12811125"/>
          <a:ext cx="3848100" cy="10287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This data falls on an expected distribution curve. It seems that the girls who scored the median had fathers whom had better educations on average. The data is consistent between eachother other than less fathers dropped out before 5th grade and more went on to get a higher education.</a:t>
          </a:r>
        </a:p>
      </xdr:txBody>
    </xdr:sp>
    <xdr:clientData/>
  </xdr:twoCellAnchor>
  <xdr:twoCellAnchor>
    <xdr:from>
      <xdr:col>0</xdr:col>
      <xdr:colOff>0</xdr:colOff>
      <xdr:row>90</xdr:row>
      <xdr:rowOff>85725</xdr:rowOff>
    </xdr:from>
    <xdr:to>
      <xdr:col>6</xdr:col>
      <xdr:colOff>238125</xdr:colOff>
      <xdr:row>104</xdr:row>
      <xdr:rowOff>161925</xdr:rowOff>
    </xdr:to>
    <xdr:graphicFrame macro="">
      <xdr:nvGraphicFramePr>
        <xdr:cNvPr id="16" name="Chart 15">
          <a:extLst>
            <a:ext uri="{FF2B5EF4-FFF2-40B4-BE49-F238E27FC236}">
              <a16:creationId xmlns:a16="http://schemas.microsoft.com/office/drawing/2014/main" id="{77D432A2-D574-4CE1-8D26-0AADDB0019F8}"/>
            </a:ext>
            <a:ext uri="{147F2762-F138-4A5C-976F-8EAC2B608ADB}">
              <a16:predDERef xmlns:a16="http://schemas.microsoft.com/office/drawing/2014/main" pred="{357993D3-65CF-B8E1-C1B8-84C6996F3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105</xdr:row>
      <xdr:rowOff>28575</xdr:rowOff>
    </xdr:from>
    <xdr:to>
      <xdr:col>6</xdr:col>
      <xdr:colOff>238125</xdr:colOff>
      <xdr:row>119</xdr:row>
      <xdr:rowOff>104775</xdr:rowOff>
    </xdr:to>
    <xdr:graphicFrame macro="">
      <xdr:nvGraphicFramePr>
        <xdr:cNvPr id="17" name="Chart 16">
          <a:extLst>
            <a:ext uri="{FF2B5EF4-FFF2-40B4-BE49-F238E27FC236}">
              <a16:creationId xmlns:a16="http://schemas.microsoft.com/office/drawing/2014/main" id="{683E1868-17EA-4FBA-B1F6-468A0B321E80}"/>
            </a:ext>
            <a:ext uri="{147F2762-F138-4A5C-976F-8EAC2B608ADB}">
              <a16:predDERef xmlns:a16="http://schemas.microsoft.com/office/drawing/2014/main" pred="{77D432A2-D574-4CE1-8D26-0AADDB001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600075</xdr:colOff>
      <xdr:row>90</xdr:row>
      <xdr:rowOff>57150</xdr:rowOff>
    </xdr:from>
    <xdr:to>
      <xdr:col>14</xdr:col>
      <xdr:colOff>228600</xdr:colOff>
      <xdr:row>104</xdr:row>
      <xdr:rowOff>133350</xdr:rowOff>
    </xdr:to>
    <xdr:graphicFrame macro="">
      <xdr:nvGraphicFramePr>
        <xdr:cNvPr id="18" name="Chart 17">
          <a:extLst>
            <a:ext uri="{FF2B5EF4-FFF2-40B4-BE49-F238E27FC236}">
              <a16:creationId xmlns:a16="http://schemas.microsoft.com/office/drawing/2014/main" id="{DECD3596-BDEF-42BA-B430-FB494DE9A819}"/>
            </a:ext>
            <a:ext uri="{147F2762-F138-4A5C-976F-8EAC2B608ADB}">
              <a16:predDERef xmlns:a16="http://schemas.microsoft.com/office/drawing/2014/main" pred="{683E1868-17EA-4FBA-B1F6-468A0B321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105</xdr:row>
      <xdr:rowOff>0</xdr:rowOff>
    </xdr:from>
    <xdr:to>
      <xdr:col>14</xdr:col>
      <xdr:colOff>238125</xdr:colOff>
      <xdr:row>119</xdr:row>
      <xdr:rowOff>76200</xdr:rowOff>
    </xdr:to>
    <xdr:graphicFrame macro="">
      <xdr:nvGraphicFramePr>
        <xdr:cNvPr id="19" name="Chart 18">
          <a:extLst>
            <a:ext uri="{FF2B5EF4-FFF2-40B4-BE49-F238E27FC236}">
              <a16:creationId xmlns:a16="http://schemas.microsoft.com/office/drawing/2014/main" id="{1314B8E7-74D6-4E56-8F12-9450CE12E2E3}"/>
            </a:ext>
            <a:ext uri="{147F2762-F138-4A5C-976F-8EAC2B608ADB}">
              <a16:predDERef xmlns:a16="http://schemas.microsoft.com/office/drawing/2014/main" pred="{DECD3596-BDEF-42BA-B430-FB494DE9A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333375</xdr:colOff>
      <xdr:row>90</xdr:row>
      <xdr:rowOff>57150</xdr:rowOff>
    </xdr:from>
    <xdr:to>
      <xdr:col>19</xdr:col>
      <xdr:colOff>514350</xdr:colOff>
      <xdr:row>94</xdr:row>
      <xdr:rowOff>133350</xdr:rowOff>
    </xdr:to>
    <xdr:sp macro="" textlink="">
      <xdr:nvSpPr>
        <xdr:cNvPr id="20" name="TextBox 19">
          <a:extLst>
            <a:ext uri="{FF2B5EF4-FFF2-40B4-BE49-F238E27FC236}">
              <a16:creationId xmlns:a16="http://schemas.microsoft.com/office/drawing/2014/main" id="{310718A6-6621-19B4-CC1C-242D66F08262}"/>
            </a:ext>
            <a:ext uri="{147F2762-F138-4A5C-976F-8EAC2B608ADB}">
              <a16:predDERef xmlns:a16="http://schemas.microsoft.com/office/drawing/2014/main" pred="{1314B8E7-74D6-4E56-8F12-9450CE12E2E3}"/>
            </a:ext>
          </a:extLst>
        </xdr:cNvPr>
        <xdr:cNvSpPr txBox="1"/>
      </xdr:nvSpPr>
      <xdr:spPr>
        <a:xfrm>
          <a:off x="10220325" y="17202150"/>
          <a:ext cx="3905250" cy="8382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data is consistent and expected between the education of the mothers of the boys. More mothers of the boys whom scored the median went to college as compared to the ones who scored the min, which received a high school education instead. </a:t>
          </a:r>
        </a:p>
      </xdr:txBody>
    </xdr:sp>
    <xdr:clientData/>
  </xdr:twoCellAnchor>
  <xdr:twoCellAnchor>
    <xdr:from>
      <xdr:col>14</xdr:col>
      <xdr:colOff>333375</xdr:colOff>
      <xdr:row>104</xdr:row>
      <xdr:rowOff>180975</xdr:rowOff>
    </xdr:from>
    <xdr:to>
      <xdr:col>19</xdr:col>
      <xdr:colOff>523875</xdr:colOff>
      <xdr:row>113</xdr:row>
      <xdr:rowOff>85725</xdr:rowOff>
    </xdr:to>
    <xdr:sp macro="" textlink="">
      <xdr:nvSpPr>
        <xdr:cNvPr id="21" name="TextBox 20">
          <a:extLst>
            <a:ext uri="{FF2B5EF4-FFF2-40B4-BE49-F238E27FC236}">
              <a16:creationId xmlns:a16="http://schemas.microsoft.com/office/drawing/2014/main" id="{B4AFB33C-068B-5972-884B-D9DA150774D6}"/>
            </a:ext>
            <a:ext uri="{147F2762-F138-4A5C-976F-8EAC2B608ADB}">
              <a16:predDERef xmlns:a16="http://schemas.microsoft.com/office/drawing/2014/main" pred="{310718A6-6621-19B4-CC1C-242D66F08262}"/>
            </a:ext>
          </a:extLst>
        </xdr:cNvPr>
        <xdr:cNvSpPr txBox="1"/>
      </xdr:nvSpPr>
      <xdr:spPr>
        <a:xfrm>
          <a:off x="10220325" y="19992975"/>
          <a:ext cx="3914775" cy="16192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In this data, less of the mothers of the girls dropped out of school before 5th grade and instead moved on to graduate college. It is still expected though. The better the average student scored, the more likely their parents had a better education compared to the parents of the students who scored the minimum score. In both the min and median case, more mothers of the boys went to college than the mothers of the girls. This should also be noted as a possible factor in the performance of the girls. </a:t>
          </a:r>
        </a:p>
      </xdr:txBody>
    </xdr:sp>
    <xdr:clientData/>
  </xdr:twoCellAnchor>
  <xdr:twoCellAnchor>
    <xdr:from>
      <xdr:col>0</xdr:col>
      <xdr:colOff>0</xdr:colOff>
      <xdr:row>128</xdr:row>
      <xdr:rowOff>38100</xdr:rowOff>
    </xdr:from>
    <xdr:to>
      <xdr:col>6</xdr:col>
      <xdr:colOff>238125</xdr:colOff>
      <xdr:row>142</xdr:row>
      <xdr:rowOff>114300</xdr:rowOff>
    </xdr:to>
    <xdr:graphicFrame macro="">
      <xdr:nvGraphicFramePr>
        <xdr:cNvPr id="22" name="Chart 21">
          <a:extLst>
            <a:ext uri="{FF2B5EF4-FFF2-40B4-BE49-F238E27FC236}">
              <a16:creationId xmlns:a16="http://schemas.microsoft.com/office/drawing/2014/main" id="{C7A81978-F807-4B10-A2BB-0C4787EC6185}"/>
            </a:ext>
            <a:ext uri="{147F2762-F138-4A5C-976F-8EAC2B608ADB}">
              <a16:predDERef xmlns:a16="http://schemas.microsoft.com/office/drawing/2014/main" pred="{B4AFB33C-068B-5972-884B-D9DA15077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143</xdr:row>
      <xdr:rowOff>0</xdr:rowOff>
    </xdr:from>
    <xdr:to>
      <xdr:col>6</xdr:col>
      <xdr:colOff>238125</xdr:colOff>
      <xdr:row>157</xdr:row>
      <xdr:rowOff>76200</xdr:rowOff>
    </xdr:to>
    <xdr:graphicFrame macro="">
      <xdr:nvGraphicFramePr>
        <xdr:cNvPr id="23" name="Chart 22">
          <a:extLst>
            <a:ext uri="{FF2B5EF4-FFF2-40B4-BE49-F238E27FC236}">
              <a16:creationId xmlns:a16="http://schemas.microsoft.com/office/drawing/2014/main" id="{944E247C-F6FE-4F56-87C3-AC514CDB9551}"/>
            </a:ext>
            <a:ext uri="{147F2762-F138-4A5C-976F-8EAC2B608ADB}">
              <a16:predDERef xmlns:a16="http://schemas.microsoft.com/office/drawing/2014/main" pred="{C7A81978-F807-4B10-A2BB-0C4787EC6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128</xdr:row>
      <xdr:rowOff>38100</xdr:rowOff>
    </xdr:from>
    <xdr:to>
      <xdr:col>14</xdr:col>
      <xdr:colOff>238125</xdr:colOff>
      <xdr:row>142</xdr:row>
      <xdr:rowOff>114300</xdr:rowOff>
    </xdr:to>
    <xdr:graphicFrame macro="">
      <xdr:nvGraphicFramePr>
        <xdr:cNvPr id="24" name="Chart 23">
          <a:extLst>
            <a:ext uri="{FF2B5EF4-FFF2-40B4-BE49-F238E27FC236}">
              <a16:creationId xmlns:a16="http://schemas.microsoft.com/office/drawing/2014/main" id="{AEFD73D0-44CC-4AE2-9600-87B5FC0F4147}"/>
            </a:ext>
            <a:ext uri="{147F2762-F138-4A5C-976F-8EAC2B608ADB}">
              <a16:predDERef xmlns:a16="http://schemas.microsoft.com/office/drawing/2014/main" pred="{944E247C-F6FE-4F56-87C3-AC514CDB9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0</xdr:colOff>
      <xdr:row>143</xdr:row>
      <xdr:rowOff>0</xdr:rowOff>
    </xdr:from>
    <xdr:to>
      <xdr:col>14</xdr:col>
      <xdr:colOff>238125</xdr:colOff>
      <xdr:row>157</xdr:row>
      <xdr:rowOff>76200</xdr:rowOff>
    </xdr:to>
    <xdr:graphicFrame macro="">
      <xdr:nvGraphicFramePr>
        <xdr:cNvPr id="25" name="Chart 24">
          <a:extLst>
            <a:ext uri="{FF2B5EF4-FFF2-40B4-BE49-F238E27FC236}">
              <a16:creationId xmlns:a16="http://schemas.microsoft.com/office/drawing/2014/main" id="{224B96B8-B78A-401B-B7C0-E9D12D43ADD7}"/>
            </a:ext>
            <a:ext uri="{147F2762-F138-4A5C-976F-8EAC2B608ADB}">
              <a16:predDERef xmlns:a16="http://schemas.microsoft.com/office/drawing/2014/main" pred="{AEFD73D0-44CC-4AE2-9600-87B5FC0F4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323850</xdr:colOff>
      <xdr:row>128</xdr:row>
      <xdr:rowOff>66675</xdr:rowOff>
    </xdr:from>
    <xdr:to>
      <xdr:col>19</xdr:col>
      <xdr:colOff>542925</xdr:colOff>
      <xdr:row>133</xdr:row>
      <xdr:rowOff>38100</xdr:rowOff>
    </xdr:to>
    <xdr:sp macro="" textlink="">
      <xdr:nvSpPr>
        <xdr:cNvPr id="26" name="TextBox 25">
          <a:extLst>
            <a:ext uri="{FF2B5EF4-FFF2-40B4-BE49-F238E27FC236}">
              <a16:creationId xmlns:a16="http://schemas.microsoft.com/office/drawing/2014/main" id="{9CDDB001-50A9-D67A-87F9-40DE0FEC85DF}"/>
            </a:ext>
            <a:ext uri="{147F2762-F138-4A5C-976F-8EAC2B608ADB}">
              <a16:predDERef xmlns:a16="http://schemas.microsoft.com/office/drawing/2014/main" pred="{224B96B8-B78A-401B-B7C0-E9D12D43ADD7}"/>
            </a:ext>
          </a:extLst>
        </xdr:cNvPr>
        <xdr:cNvSpPr txBox="1"/>
      </xdr:nvSpPr>
      <xdr:spPr>
        <a:xfrm>
          <a:off x="10210800" y="24450675"/>
          <a:ext cx="3943350" cy="9239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Less of the fathers of the boys who scored the median were stay-at-home fathers and civil service workers, instead working in the 'other' category. The only kid to score the max score had a father that worked in civil services. This probably contributed to the structure in his life.</a:t>
          </a:r>
        </a:p>
      </xdr:txBody>
    </xdr:sp>
    <xdr:clientData/>
  </xdr:twoCellAnchor>
  <xdr:twoCellAnchor>
    <xdr:from>
      <xdr:col>14</xdr:col>
      <xdr:colOff>323850</xdr:colOff>
      <xdr:row>143</xdr:row>
      <xdr:rowOff>9525</xdr:rowOff>
    </xdr:from>
    <xdr:to>
      <xdr:col>19</xdr:col>
      <xdr:colOff>523875</xdr:colOff>
      <xdr:row>147</xdr:row>
      <xdr:rowOff>57150</xdr:rowOff>
    </xdr:to>
    <xdr:sp macro="" textlink="">
      <xdr:nvSpPr>
        <xdr:cNvPr id="27" name="TextBox 26">
          <a:extLst>
            <a:ext uri="{FF2B5EF4-FFF2-40B4-BE49-F238E27FC236}">
              <a16:creationId xmlns:a16="http://schemas.microsoft.com/office/drawing/2014/main" id="{C5F4BCBD-2036-1C5E-EB5F-55C9BA9B417F}"/>
            </a:ext>
            <a:ext uri="{147F2762-F138-4A5C-976F-8EAC2B608ADB}">
              <a16:predDERef xmlns:a16="http://schemas.microsoft.com/office/drawing/2014/main" pred="{9CDDB001-50A9-D67A-87F9-40DE0FEC85DF}"/>
            </a:ext>
          </a:extLst>
        </xdr:cNvPr>
        <xdr:cNvSpPr txBox="1"/>
      </xdr:nvSpPr>
      <xdr:spPr>
        <a:xfrm>
          <a:off x="10210800" y="27251025"/>
          <a:ext cx="3924300" cy="8096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Less of the fathers of the girls who scored the median were stay-at-home fathers and workers in the 'other' category, instead working in health care. Nothing that sticks out as unusal in either of these cases though. </a:t>
          </a:r>
        </a:p>
      </xdr:txBody>
    </xdr:sp>
    <xdr:clientData/>
  </xdr:twoCellAnchor>
  <xdr:twoCellAnchor>
    <xdr:from>
      <xdr:col>0</xdr:col>
      <xdr:colOff>0</xdr:colOff>
      <xdr:row>166</xdr:row>
      <xdr:rowOff>57150</xdr:rowOff>
    </xdr:from>
    <xdr:to>
      <xdr:col>6</xdr:col>
      <xdr:colOff>238125</xdr:colOff>
      <xdr:row>180</xdr:row>
      <xdr:rowOff>133350</xdr:rowOff>
    </xdr:to>
    <xdr:graphicFrame macro="">
      <xdr:nvGraphicFramePr>
        <xdr:cNvPr id="9" name="Chart 8">
          <a:extLst>
            <a:ext uri="{FF2B5EF4-FFF2-40B4-BE49-F238E27FC236}">
              <a16:creationId xmlns:a16="http://schemas.microsoft.com/office/drawing/2014/main" id="{936752B2-174C-4ADA-8736-32914689CB91}"/>
            </a:ext>
            <a:ext uri="{147F2762-F138-4A5C-976F-8EAC2B608ADB}">
              <a16:predDERef xmlns:a16="http://schemas.microsoft.com/office/drawing/2014/main" pred="{C5F4BCBD-2036-1C5E-EB5F-55C9BA9B4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181</xdr:row>
      <xdr:rowOff>0</xdr:rowOff>
    </xdr:from>
    <xdr:to>
      <xdr:col>6</xdr:col>
      <xdr:colOff>238125</xdr:colOff>
      <xdr:row>195</xdr:row>
      <xdr:rowOff>76200</xdr:rowOff>
    </xdr:to>
    <xdr:graphicFrame macro="">
      <xdr:nvGraphicFramePr>
        <xdr:cNvPr id="28" name="Chart 27">
          <a:extLst>
            <a:ext uri="{FF2B5EF4-FFF2-40B4-BE49-F238E27FC236}">
              <a16:creationId xmlns:a16="http://schemas.microsoft.com/office/drawing/2014/main" id="{E0F35C18-872B-4DAC-8E35-7C0E4FA6F5DE}"/>
            </a:ext>
            <a:ext uri="{147F2762-F138-4A5C-976F-8EAC2B608ADB}">
              <a16:predDERef xmlns:a16="http://schemas.microsoft.com/office/drawing/2014/main" pred="{936752B2-174C-4ADA-8736-32914689C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0</xdr:colOff>
      <xdr:row>166</xdr:row>
      <xdr:rowOff>28575</xdr:rowOff>
    </xdr:from>
    <xdr:to>
      <xdr:col>14</xdr:col>
      <xdr:colOff>238125</xdr:colOff>
      <xdr:row>180</xdr:row>
      <xdr:rowOff>104775</xdr:rowOff>
    </xdr:to>
    <xdr:graphicFrame macro="">
      <xdr:nvGraphicFramePr>
        <xdr:cNvPr id="29" name="Chart 28">
          <a:extLst>
            <a:ext uri="{FF2B5EF4-FFF2-40B4-BE49-F238E27FC236}">
              <a16:creationId xmlns:a16="http://schemas.microsoft.com/office/drawing/2014/main" id="{A16F10F5-BE8F-4226-A528-FF7DCE0C1683}"/>
            </a:ext>
            <a:ext uri="{147F2762-F138-4A5C-976F-8EAC2B608ADB}">
              <a16:predDERef xmlns:a16="http://schemas.microsoft.com/office/drawing/2014/main" pred="{E0F35C18-872B-4DAC-8E35-7C0E4FA6F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0</xdr:colOff>
      <xdr:row>181</xdr:row>
      <xdr:rowOff>0</xdr:rowOff>
    </xdr:from>
    <xdr:to>
      <xdr:col>14</xdr:col>
      <xdr:colOff>238125</xdr:colOff>
      <xdr:row>195</xdr:row>
      <xdr:rowOff>76200</xdr:rowOff>
    </xdr:to>
    <xdr:graphicFrame macro="">
      <xdr:nvGraphicFramePr>
        <xdr:cNvPr id="30" name="Chart 29">
          <a:extLst>
            <a:ext uri="{FF2B5EF4-FFF2-40B4-BE49-F238E27FC236}">
              <a16:creationId xmlns:a16="http://schemas.microsoft.com/office/drawing/2014/main" id="{D142B987-174F-4972-AB71-EE132C3B0291}"/>
            </a:ext>
            <a:ext uri="{147F2762-F138-4A5C-976F-8EAC2B608ADB}">
              <a16:predDERef xmlns:a16="http://schemas.microsoft.com/office/drawing/2014/main" pred="{A16F10F5-BE8F-4226-A528-FF7DCE0C1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323850</xdr:colOff>
      <xdr:row>166</xdr:row>
      <xdr:rowOff>57150</xdr:rowOff>
    </xdr:from>
    <xdr:to>
      <xdr:col>19</xdr:col>
      <xdr:colOff>542925</xdr:colOff>
      <xdr:row>170</xdr:row>
      <xdr:rowOff>76200</xdr:rowOff>
    </xdr:to>
    <xdr:sp macro="" textlink="">
      <xdr:nvSpPr>
        <xdr:cNvPr id="31" name="TextBox 30">
          <a:extLst>
            <a:ext uri="{FF2B5EF4-FFF2-40B4-BE49-F238E27FC236}">
              <a16:creationId xmlns:a16="http://schemas.microsoft.com/office/drawing/2014/main" id="{2AB7110D-3F62-4A72-41DC-86A979AC69FB}"/>
            </a:ext>
            <a:ext uri="{147F2762-F138-4A5C-976F-8EAC2B608ADB}">
              <a16:predDERef xmlns:a16="http://schemas.microsoft.com/office/drawing/2014/main" pred="{D142B987-174F-4972-AB71-EE132C3B0291}"/>
            </a:ext>
          </a:extLst>
        </xdr:cNvPr>
        <xdr:cNvSpPr txBox="1"/>
      </xdr:nvSpPr>
      <xdr:spPr>
        <a:xfrm>
          <a:off x="10210800" y="31680150"/>
          <a:ext cx="3943350" cy="7810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Almost a quarter of the boys mother's were stay-at-home moms while the median score had no boys with mothers that were stay-at-home moms. More of the moms worked in civil services for the boys that scored the median.</a:t>
          </a:r>
        </a:p>
      </xdr:txBody>
    </xdr:sp>
    <xdr:clientData/>
  </xdr:twoCellAnchor>
  <xdr:twoCellAnchor>
    <xdr:from>
      <xdr:col>14</xdr:col>
      <xdr:colOff>361950</xdr:colOff>
      <xdr:row>181</xdr:row>
      <xdr:rowOff>19050</xdr:rowOff>
    </xdr:from>
    <xdr:to>
      <xdr:col>19</xdr:col>
      <xdr:colOff>542925</xdr:colOff>
      <xdr:row>185</xdr:row>
      <xdr:rowOff>38100</xdr:rowOff>
    </xdr:to>
    <xdr:sp macro="" textlink="">
      <xdr:nvSpPr>
        <xdr:cNvPr id="32" name="TextBox 31">
          <a:extLst>
            <a:ext uri="{FF2B5EF4-FFF2-40B4-BE49-F238E27FC236}">
              <a16:creationId xmlns:a16="http://schemas.microsoft.com/office/drawing/2014/main" id="{341170B9-CDF8-BAEB-900C-C96105AB04E9}"/>
            </a:ext>
            <a:ext uri="{147F2762-F138-4A5C-976F-8EAC2B608ADB}">
              <a16:predDERef xmlns:a16="http://schemas.microsoft.com/office/drawing/2014/main" pred="{2AB7110D-3F62-4A72-41DC-86A979AC69FB}"/>
            </a:ext>
          </a:extLst>
        </xdr:cNvPr>
        <xdr:cNvSpPr txBox="1"/>
      </xdr:nvSpPr>
      <xdr:spPr>
        <a:xfrm>
          <a:off x="10248900" y="34499550"/>
          <a:ext cx="3905250" cy="7810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only major difference between the moms of the girls that scored the min and median is that there were less stay-at-home moms and instead more teachers. This could be a correlation with the better grades. </a:t>
          </a:r>
        </a:p>
      </xdr:txBody>
    </xdr:sp>
    <xdr:clientData/>
  </xdr:twoCellAnchor>
  <xdr:twoCellAnchor>
    <xdr:from>
      <xdr:col>18</xdr:col>
      <xdr:colOff>142875</xdr:colOff>
      <xdr:row>197</xdr:row>
      <xdr:rowOff>9525</xdr:rowOff>
    </xdr:from>
    <xdr:to>
      <xdr:col>21</xdr:col>
      <xdr:colOff>666750</xdr:colOff>
      <xdr:row>205</xdr:row>
      <xdr:rowOff>123825</xdr:rowOff>
    </xdr:to>
    <xdr:sp macro="" textlink="">
      <xdr:nvSpPr>
        <xdr:cNvPr id="33" name="TextBox 32">
          <a:extLst>
            <a:ext uri="{FF2B5EF4-FFF2-40B4-BE49-F238E27FC236}">
              <a16:creationId xmlns:a16="http://schemas.microsoft.com/office/drawing/2014/main" id="{4D2B80EF-50D1-AC5E-57AE-30A92E746F4A}"/>
            </a:ext>
            <a:ext uri="{147F2762-F138-4A5C-976F-8EAC2B608ADB}">
              <a16:predDERef xmlns:a16="http://schemas.microsoft.com/office/drawing/2014/main" pred="{341170B9-CDF8-BAEB-900C-C96105AB04E9}"/>
            </a:ext>
          </a:extLst>
        </xdr:cNvPr>
        <xdr:cNvSpPr txBox="1"/>
      </xdr:nvSpPr>
      <xdr:spPr>
        <a:xfrm>
          <a:off x="13144500" y="37538025"/>
          <a:ext cx="2352675" cy="16383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average age seems to go down the higher the scores get. It is also unexpected that the higher the grade, the more often the parents were separated. It is expected though that the more internet access the students have, the more likely they are to get a better grade, or so would the data suggest. </a:t>
          </a:r>
        </a:p>
      </xdr:txBody>
    </xdr:sp>
    <xdr:clientData/>
  </xdr:twoCellAnchor>
  <xdr:twoCellAnchor>
    <xdr:from>
      <xdr:col>0</xdr:col>
      <xdr:colOff>0</xdr:colOff>
      <xdr:row>213</xdr:row>
      <xdr:rowOff>47625</xdr:rowOff>
    </xdr:from>
    <xdr:to>
      <xdr:col>6</xdr:col>
      <xdr:colOff>238125</xdr:colOff>
      <xdr:row>227</xdr:row>
      <xdr:rowOff>123825</xdr:rowOff>
    </xdr:to>
    <xdr:graphicFrame macro="">
      <xdr:nvGraphicFramePr>
        <xdr:cNvPr id="34" name="Chart 33">
          <a:extLst>
            <a:ext uri="{FF2B5EF4-FFF2-40B4-BE49-F238E27FC236}">
              <a16:creationId xmlns:a16="http://schemas.microsoft.com/office/drawing/2014/main" id="{A72E7618-6FAB-48C0-BFF8-B24FE9D6FB86}"/>
            </a:ext>
            <a:ext uri="{147F2762-F138-4A5C-976F-8EAC2B608ADB}">
              <a16:predDERef xmlns:a16="http://schemas.microsoft.com/office/drawing/2014/main" pred="{4D2B80EF-50D1-AC5E-57AE-30A92E746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228</xdr:row>
      <xdr:rowOff>0</xdr:rowOff>
    </xdr:from>
    <xdr:to>
      <xdr:col>6</xdr:col>
      <xdr:colOff>238125</xdr:colOff>
      <xdr:row>242</xdr:row>
      <xdr:rowOff>76200</xdr:rowOff>
    </xdr:to>
    <xdr:graphicFrame macro="">
      <xdr:nvGraphicFramePr>
        <xdr:cNvPr id="35" name="Chart 34">
          <a:extLst>
            <a:ext uri="{FF2B5EF4-FFF2-40B4-BE49-F238E27FC236}">
              <a16:creationId xmlns:a16="http://schemas.microsoft.com/office/drawing/2014/main" id="{32A1C498-D77A-4EBC-B209-07E556A14932}"/>
            </a:ext>
            <a:ext uri="{147F2762-F138-4A5C-976F-8EAC2B608ADB}">
              <a16:predDERef xmlns:a16="http://schemas.microsoft.com/office/drawing/2014/main" pred="{A72E7618-6FAB-48C0-BFF8-B24FE9D6F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600075</xdr:colOff>
      <xdr:row>213</xdr:row>
      <xdr:rowOff>57150</xdr:rowOff>
    </xdr:from>
    <xdr:to>
      <xdr:col>14</xdr:col>
      <xdr:colOff>228600</xdr:colOff>
      <xdr:row>227</xdr:row>
      <xdr:rowOff>133350</xdr:rowOff>
    </xdr:to>
    <xdr:graphicFrame macro="">
      <xdr:nvGraphicFramePr>
        <xdr:cNvPr id="36" name="Chart 35">
          <a:extLst>
            <a:ext uri="{FF2B5EF4-FFF2-40B4-BE49-F238E27FC236}">
              <a16:creationId xmlns:a16="http://schemas.microsoft.com/office/drawing/2014/main" id="{08778FCD-D1BC-4172-9487-FE55D527133D}"/>
            </a:ext>
            <a:ext uri="{147F2762-F138-4A5C-976F-8EAC2B608ADB}">
              <a16:predDERef xmlns:a16="http://schemas.microsoft.com/office/drawing/2014/main" pred="{32A1C498-D77A-4EBC-B209-07E556A14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0</xdr:colOff>
      <xdr:row>228</xdr:row>
      <xdr:rowOff>0</xdr:rowOff>
    </xdr:from>
    <xdr:to>
      <xdr:col>14</xdr:col>
      <xdr:colOff>238125</xdr:colOff>
      <xdr:row>242</xdr:row>
      <xdr:rowOff>76200</xdr:rowOff>
    </xdr:to>
    <xdr:graphicFrame macro="">
      <xdr:nvGraphicFramePr>
        <xdr:cNvPr id="37" name="Chart 36">
          <a:extLst>
            <a:ext uri="{FF2B5EF4-FFF2-40B4-BE49-F238E27FC236}">
              <a16:creationId xmlns:a16="http://schemas.microsoft.com/office/drawing/2014/main" id="{3FB6AE34-0BEB-4226-B5D3-DDBABE17E58C}"/>
            </a:ext>
            <a:ext uri="{147F2762-F138-4A5C-976F-8EAC2B608ADB}">
              <a16:predDERef xmlns:a16="http://schemas.microsoft.com/office/drawing/2014/main" pred="{08778FCD-D1BC-4172-9487-FE55D5271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285750</xdr:colOff>
      <xdr:row>213</xdr:row>
      <xdr:rowOff>66675</xdr:rowOff>
    </xdr:from>
    <xdr:to>
      <xdr:col>19</xdr:col>
      <xdr:colOff>561975</xdr:colOff>
      <xdr:row>216</xdr:row>
      <xdr:rowOff>133350</xdr:rowOff>
    </xdr:to>
    <xdr:sp macro="" textlink="">
      <xdr:nvSpPr>
        <xdr:cNvPr id="38" name="TextBox 37">
          <a:extLst>
            <a:ext uri="{FF2B5EF4-FFF2-40B4-BE49-F238E27FC236}">
              <a16:creationId xmlns:a16="http://schemas.microsoft.com/office/drawing/2014/main" id="{20E525A0-CB00-0A4D-BDE6-41841BC4131C}"/>
            </a:ext>
            <a:ext uri="{147F2762-F138-4A5C-976F-8EAC2B608ADB}">
              <a16:predDERef xmlns:a16="http://schemas.microsoft.com/office/drawing/2014/main" pred="{3FB6AE34-0BEB-4226-B5D3-DDBABE17E58C}"/>
            </a:ext>
          </a:extLst>
        </xdr:cNvPr>
        <xdr:cNvSpPr txBox="1"/>
      </xdr:nvSpPr>
      <xdr:spPr>
        <a:xfrm>
          <a:off x="10172700" y="40643175"/>
          <a:ext cx="4000500" cy="6381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It seems like the higher the score, the more likely the boys were to be in after school activities. Which goes against the notion of extra curriculars taking time away from studying. </a:t>
          </a:r>
        </a:p>
      </xdr:txBody>
    </xdr:sp>
    <xdr:clientData/>
  </xdr:twoCellAnchor>
  <xdr:twoCellAnchor>
    <xdr:from>
      <xdr:col>14</xdr:col>
      <xdr:colOff>285750</xdr:colOff>
      <xdr:row>227</xdr:row>
      <xdr:rowOff>180975</xdr:rowOff>
    </xdr:from>
    <xdr:to>
      <xdr:col>19</xdr:col>
      <xdr:colOff>552450</xdr:colOff>
      <xdr:row>231</xdr:row>
      <xdr:rowOff>123825</xdr:rowOff>
    </xdr:to>
    <xdr:sp macro="" textlink="">
      <xdr:nvSpPr>
        <xdr:cNvPr id="39" name="TextBox 38">
          <a:extLst>
            <a:ext uri="{FF2B5EF4-FFF2-40B4-BE49-F238E27FC236}">
              <a16:creationId xmlns:a16="http://schemas.microsoft.com/office/drawing/2014/main" id="{10274224-9F08-65BA-6F8C-96ADF157B307}"/>
            </a:ext>
            <a:ext uri="{147F2762-F138-4A5C-976F-8EAC2B608ADB}">
              <a16:predDERef xmlns:a16="http://schemas.microsoft.com/office/drawing/2014/main" pred="{20E525A0-CB00-0A4D-BDE6-41841BC4131C}"/>
            </a:ext>
          </a:extLst>
        </xdr:cNvPr>
        <xdr:cNvSpPr txBox="1"/>
      </xdr:nvSpPr>
      <xdr:spPr>
        <a:xfrm>
          <a:off x="10172700" y="43424475"/>
          <a:ext cx="3990975" cy="7048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opposite is true of the girls. Considering this, it seems that there is no correlation between being in extracurricular activities and performance in school. </a:t>
          </a:r>
        </a:p>
      </xdr:txBody>
    </xdr:sp>
    <xdr:clientData/>
  </xdr:twoCellAnchor>
  <xdr:twoCellAnchor>
    <xdr:from>
      <xdr:col>0</xdr:col>
      <xdr:colOff>0</xdr:colOff>
      <xdr:row>244</xdr:row>
      <xdr:rowOff>0</xdr:rowOff>
    </xdr:from>
    <xdr:to>
      <xdr:col>6</xdr:col>
      <xdr:colOff>238125</xdr:colOff>
      <xdr:row>258</xdr:row>
      <xdr:rowOff>76200</xdr:rowOff>
    </xdr:to>
    <xdr:graphicFrame macro="">
      <xdr:nvGraphicFramePr>
        <xdr:cNvPr id="40" name="Chart 39">
          <a:extLst>
            <a:ext uri="{FF2B5EF4-FFF2-40B4-BE49-F238E27FC236}">
              <a16:creationId xmlns:a16="http://schemas.microsoft.com/office/drawing/2014/main" id="{3996D64D-81DB-4241-A98C-09DCE800F875}"/>
            </a:ext>
            <a:ext uri="{147F2762-F138-4A5C-976F-8EAC2B608ADB}">
              <a16:predDERef xmlns:a16="http://schemas.microsoft.com/office/drawing/2014/main" pred="{10274224-9F08-65BA-6F8C-96ADF157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259</xdr:row>
      <xdr:rowOff>0</xdr:rowOff>
    </xdr:from>
    <xdr:to>
      <xdr:col>6</xdr:col>
      <xdr:colOff>238125</xdr:colOff>
      <xdr:row>273</xdr:row>
      <xdr:rowOff>76200</xdr:rowOff>
    </xdr:to>
    <xdr:graphicFrame macro="">
      <xdr:nvGraphicFramePr>
        <xdr:cNvPr id="41" name="Chart 40">
          <a:extLst>
            <a:ext uri="{FF2B5EF4-FFF2-40B4-BE49-F238E27FC236}">
              <a16:creationId xmlns:a16="http://schemas.microsoft.com/office/drawing/2014/main" id="{A7044D30-E5D1-4087-B0B5-96F9E02368A5}"/>
            </a:ext>
            <a:ext uri="{147F2762-F138-4A5C-976F-8EAC2B608ADB}">
              <a16:predDERef xmlns:a16="http://schemas.microsoft.com/office/drawing/2014/main" pred="{3996D64D-81DB-4241-A98C-09DCE800F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0</xdr:colOff>
      <xdr:row>244</xdr:row>
      <xdr:rowOff>0</xdr:rowOff>
    </xdr:from>
    <xdr:to>
      <xdr:col>14</xdr:col>
      <xdr:colOff>238125</xdr:colOff>
      <xdr:row>258</xdr:row>
      <xdr:rowOff>76200</xdr:rowOff>
    </xdr:to>
    <xdr:graphicFrame macro="">
      <xdr:nvGraphicFramePr>
        <xdr:cNvPr id="42" name="Chart 41">
          <a:extLst>
            <a:ext uri="{FF2B5EF4-FFF2-40B4-BE49-F238E27FC236}">
              <a16:creationId xmlns:a16="http://schemas.microsoft.com/office/drawing/2014/main" id="{32DD81BE-357B-47F0-8E44-093313E6D9B3}"/>
            </a:ext>
            <a:ext uri="{147F2762-F138-4A5C-976F-8EAC2B608ADB}">
              <a16:predDERef xmlns:a16="http://schemas.microsoft.com/office/drawing/2014/main" pred="{A7044D30-E5D1-4087-B0B5-96F9E0236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0</xdr:colOff>
      <xdr:row>259</xdr:row>
      <xdr:rowOff>0</xdr:rowOff>
    </xdr:from>
    <xdr:to>
      <xdr:col>14</xdr:col>
      <xdr:colOff>238125</xdr:colOff>
      <xdr:row>273</xdr:row>
      <xdr:rowOff>76200</xdr:rowOff>
    </xdr:to>
    <xdr:graphicFrame macro="">
      <xdr:nvGraphicFramePr>
        <xdr:cNvPr id="43" name="Chart 42">
          <a:extLst>
            <a:ext uri="{FF2B5EF4-FFF2-40B4-BE49-F238E27FC236}">
              <a16:creationId xmlns:a16="http://schemas.microsoft.com/office/drawing/2014/main" id="{59B1042B-CC84-46AB-B853-20CE3B1A36FA}"/>
            </a:ext>
            <a:ext uri="{147F2762-F138-4A5C-976F-8EAC2B608ADB}">
              <a16:predDERef xmlns:a16="http://schemas.microsoft.com/office/drawing/2014/main" pred="{32DD81BE-357B-47F0-8E44-093313E6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14</xdr:col>
      <xdr:colOff>323850</xdr:colOff>
      <xdr:row>244</xdr:row>
      <xdr:rowOff>9525</xdr:rowOff>
    </xdr:from>
    <xdr:to>
      <xdr:col>19</xdr:col>
      <xdr:colOff>561975</xdr:colOff>
      <xdr:row>246</xdr:row>
      <xdr:rowOff>152400</xdr:rowOff>
    </xdr:to>
    <xdr:sp macro="" textlink="">
      <xdr:nvSpPr>
        <xdr:cNvPr id="44" name="TextBox 43">
          <a:extLst>
            <a:ext uri="{FF2B5EF4-FFF2-40B4-BE49-F238E27FC236}">
              <a16:creationId xmlns:a16="http://schemas.microsoft.com/office/drawing/2014/main" id="{3997B7BA-A30F-5A29-B4F1-2D5A9B0663F8}"/>
            </a:ext>
            <a:ext uri="{147F2762-F138-4A5C-976F-8EAC2B608ADB}">
              <a16:predDERef xmlns:a16="http://schemas.microsoft.com/office/drawing/2014/main" pred="{59B1042B-CC84-46AB-B853-20CE3B1A36FA}"/>
            </a:ext>
          </a:extLst>
        </xdr:cNvPr>
        <xdr:cNvSpPr txBox="1"/>
      </xdr:nvSpPr>
      <xdr:spPr>
        <a:xfrm>
          <a:off x="10210800" y="46491525"/>
          <a:ext cx="3962400" cy="5238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proportions of boys in a relationship didnt change between the boys who scored zero and the boys who scored the median. </a:t>
          </a:r>
        </a:p>
      </xdr:txBody>
    </xdr:sp>
    <xdr:clientData/>
  </xdr:twoCellAnchor>
  <xdr:twoCellAnchor>
    <xdr:from>
      <xdr:col>14</xdr:col>
      <xdr:colOff>304800</xdr:colOff>
      <xdr:row>259</xdr:row>
      <xdr:rowOff>0</xdr:rowOff>
    </xdr:from>
    <xdr:to>
      <xdr:col>19</xdr:col>
      <xdr:colOff>504825</xdr:colOff>
      <xdr:row>264</xdr:row>
      <xdr:rowOff>123825</xdr:rowOff>
    </xdr:to>
    <xdr:sp macro="" textlink="">
      <xdr:nvSpPr>
        <xdr:cNvPr id="45" name="TextBox 44">
          <a:extLst>
            <a:ext uri="{FF2B5EF4-FFF2-40B4-BE49-F238E27FC236}">
              <a16:creationId xmlns:a16="http://schemas.microsoft.com/office/drawing/2014/main" id="{132D9965-5581-6224-C64E-2C531C6F6BF4}"/>
            </a:ext>
            <a:ext uri="{147F2762-F138-4A5C-976F-8EAC2B608ADB}">
              <a16:predDERef xmlns:a16="http://schemas.microsoft.com/office/drawing/2014/main" pred="{3997B7BA-A30F-5A29-B4F1-2D5A9B0663F8}"/>
            </a:ext>
          </a:extLst>
        </xdr:cNvPr>
        <xdr:cNvSpPr txBox="1"/>
      </xdr:nvSpPr>
      <xdr:spPr>
        <a:xfrm>
          <a:off x="10191750" y="49339500"/>
          <a:ext cx="3924300" cy="10763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FF0000"/>
              </a:solidFill>
              <a:latin typeface="Calibri" panose="020F0502020204030204" pitchFamily="34" charset="0"/>
              <a:cs typeface="Calibri" panose="020F0502020204030204" pitchFamily="34" charset="0"/>
            </a:rPr>
            <a:t>The girls who scored the median and were in a relationship were congruent with the boys in general. The only difference between the boys and girls were that of the girls that scored zero, almost 66% were in a relationship. This could indicate that dating can be a distraction from studies for girls and that it can potentially affect their grades.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85725</xdr:colOff>
      <xdr:row>29</xdr:row>
      <xdr:rowOff>76200</xdr:rowOff>
    </xdr:from>
    <xdr:to>
      <xdr:col>10</xdr:col>
      <xdr:colOff>152400</xdr:colOff>
      <xdr:row>45</xdr:row>
      <xdr:rowOff>66675</xdr:rowOff>
    </xdr:to>
    <xdr:sp macro="" textlink="">
      <xdr:nvSpPr>
        <xdr:cNvPr id="2" name="TextBox 1">
          <a:extLst>
            <a:ext uri="{FF2B5EF4-FFF2-40B4-BE49-F238E27FC236}">
              <a16:creationId xmlns:a16="http://schemas.microsoft.com/office/drawing/2014/main" id="{527D8A2D-5D85-13E4-0C02-11BCD10DE1F2}"/>
            </a:ext>
          </a:extLst>
        </xdr:cNvPr>
        <xdr:cNvSpPr txBox="1"/>
      </xdr:nvSpPr>
      <xdr:spPr>
        <a:xfrm>
          <a:off x="6753225" y="5600700"/>
          <a:ext cx="6238875" cy="30384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I was right. Out of the  female students that failed, 30% of their fathers dropped out before even reaching 5th grade and another 39% dropped out before even reaching 10th grade for a total of 69% of the fathers of the girls whom failed never even reached secondary school. If that wasn' t alarming enough, of the girls whom scored zero whose fathers dropped out between 5th grade and 9th grade, 67% of their mothers also dropped out of school between 5th and 9th grade and another 11% of the mothers before 5th grade for a total of 78% of the girls whose fathers dropped out between 5th and 9th grade also had a mother whom dropped out some time before 10th grade as well. And of the girls who scored zero with fathers who dropped out before 5th grade, 57% of their mothers also dropped out before 5th grade and the other 43% dropped out some time between 5th and 9th grade for a total of 100% of the girls whose fathers dropped out before 5th grade also had mothers who dropped out before 10th grade. This means that of the girls that scored zero whom also  had a father that dropped out of school some time before 10th grade, 61% of them also had a mother that dropped out some time before 10th grade. More than half of the girls that scored zero had both a mother and a father where neither of which had even a high school education, and even a middle/elementary school education. The statistics of the boy students aren't as drastic but still quite alarming. I didn't know what to expect coming into this statistically. Almost all of the data fell within a relative ballpark of what I would have guessed except for this, and anything that I didn't expect I was able to explain. This I am not able to explain. This is utterly insane. I never would have guessed this. </a:t>
          </a:r>
        </a:p>
      </xdr:txBody>
    </xdr:sp>
    <xdr:clientData/>
  </xdr:twoCellAnchor>
  <xdr:twoCellAnchor>
    <xdr:from>
      <xdr:col>0</xdr:col>
      <xdr:colOff>0</xdr:colOff>
      <xdr:row>0</xdr:row>
      <xdr:rowOff>9525</xdr:rowOff>
    </xdr:from>
    <xdr:to>
      <xdr:col>1</xdr:col>
      <xdr:colOff>2619375</xdr:colOff>
      <xdr:row>2</xdr:row>
      <xdr:rowOff>180975</xdr:rowOff>
    </xdr:to>
    <xdr:sp macro="" textlink="">
      <xdr:nvSpPr>
        <xdr:cNvPr id="4" name="TextBox 3">
          <a:extLst>
            <a:ext uri="{FF2B5EF4-FFF2-40B4-BE49-F238E27FC236}">
              <a16:creationId xmlns:a16="http://schemas.microsoft.com/office/drawing/2014/main" id="{31C076CA-15E0-2706-B10F-D73430579AC5}"/>
            </a:ext>
            <a:ext uri="{147F2762-F138-4A5C-976F-8EAC2B608ADB}">
              <a16:predDERef xmlns:a16="http://schemas.microsoft.com/office/drawing/2014/main" pred="{527D8A2D-5D85-13E4-0C02-11BCD10DE1F2}"/>
            </a:ext>
          </a:extLst>
        </xdr:cNvPr>
        <xdr:cNvSpPr txBox="1"/>
      </xdr:nvSpPr>
      <xdr:spPr>
        <a:xfrm>
          <a:off x="0" y="9525"/>
          <a:ext cx="5362575" cy="5524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000" b="0"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rPr>
            <a:t>The mother of every student and her education</a:t>
          </a:r>
        </a:p>
      </xdr:txBody>
    </xdr:sp>
    <xdr:clientData/>
  </xdr:twoCellAnchor>
  <xdr:twoCellAnchor>
    <xdr:from>
      <xdr:col>4</xdr:col>
      <xdr:colOff>771525</xdr:colOff>
      <xdr:row>0</xdr:row>
      <xdr:rowOff>0</xdr:rowOff>
    </xdr:from>
    <xdr:to>
      <xdr:col>8</xdr:col>
      <xdr:colOff>666750</xdr:colOff>
      <xdr:row>3</xdr:row>
      <xdr:rowOff>142875</xdr:rowOff>
    </xdr:to>
    <xdr:sp macro="" textlink="">
      <xdr:nvSpPr>
        <xdr:cNvPr id="5" name="TextBox 4">
          <a:extLst>
            <a:ext uri="{FF2B5EF4-FFF2-40B4-BE49-F238E27FC236}">
              <a16:creationId xmlns:a16="http://schemas.microsoft.com/office/drawing/2014/main" id="{B0645DF1-1EC1-FA4B-3295-E684D165D252}"/>
            </a:ext>
            <a:ext uri="{147F2762-F138-4A5C-976F-8EAC2B608ADB}">
              <a16:predDERef xmlns:a16="http://schemas.microsoft.com/office/drawing/2014/main" pred="{31C076CA-15E0-2706-B10F-D73430579AC5}"/>
            </a:ext>
          </a:extLst>
        </xdr:cNvPr>
        <xdr:cNvSpPr txBox="1"/>
      </xdr:nvSpPr>
      <xdr:spPr>
        <a:xfrm>
          <a:off x="6657975" y="0"/>
          <a:ext cx="5362575" cy="7143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marR="0" indent="0" algn="l">
            <a:lnSpc>
              <a:spcPct val="100000"/>
            </a:lnSpc>
            <a:spcBef>
              <a:spcPts val="0"/>
            </a:spcBef>
            <a:spcAft>
              <a:spcPts val="0"/>
            </a:spcAft>
          </a:pPr>
          <a:r>
            <a:rPr lang="en-US" sz="2000" b="0"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rPr>
            <a:t>The mother of every student that scored 0 and her education</a:t>
          </a:r>
        </a:p>
      </xdr:txBody>
    </xdr:sp>
    <xdr:clientData/>
  </xdr:twoCellAnchor>
  <xdr:twoCellAnchor>
    <xdr:from>
      <xdr:col>9</xdr:col>
      <xdr:colOff>752475</xdr:colOff>
      <xdr:row>0</xdr:row>
      <xdr:rowOff>0</xdr:rowOff>
    </xdr:from>
    <xdr:to>
      <xdr:col>13</xdr:col>
      <xdr:colOff>752475</xdr:colOff>
      <xdr:row>3</xdr:row>
      <xdr:rowOff>133350</xdr:rowOff>
    </xdr:to>
    <xdr:sp macro="" textlink="">
      <xdr:nvSpPr>
        <xdr:cNvPr id="6" name="TextBox 5">
          <a:extLst>
            <a:ext uri="{FF2B5EF4-FFF2-40B4-BE49-F238E27FC236}">
              <a16:creationId xmlns:a16="http://schemas.microsoft.com/office/drawing/2014/main" id="{0C9A1905-B58E-75CD-B450-46D5B1EA4587}"/>
            </a:ext>
            <a:ext uri="{147F2762-F138-4A5C-976F-8EAC2B608ADB}">
              <a16:predDERef xmlns:a16="http://schemas.microsoft.com/office/drawing/2014/main" pred="{B0645DF1-1EC1-FA4B-3295-E684D165D252}"/>
            </a:ext>
          </a:extLst>
        </xdr:cNvPr>
        <xdr:cNvSpPr txBox="1"/>
      </xdr:nvSpPr>
      <xdr:spPr>
        <a:xfrm>
          <a:off x="12811125" y="0"/>
          <a:ext cx="4076700" cy="7048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marR="0" indent="0" algn="l">
            <a:lnSpc>
              <a:spcPct val="100000"/>
            </a:lnSpc>
            <a:spcBef>
              <a:spcPts val="0"/>
            </a:spcBef>
            <a:spcAft>
              <a:spcPts val="0"/>
            </a:spcAft>
          </a:pPr>
          <a:r>
            <a:rPr lang="en-US" sz="2000" b="0"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rPr>
            <a:t>The mother of every student that scored the median and her education</a:t>
          </a:r>
        </a:p>
      </xdr:txBody>
    </xdr:sp>
    <xdr:clientData/>
  </xdr:twoCellAnchor>
  <xdr:twoCellAnchor>
    <xdr:from>
      <xdr:col>15</xdr:col>
      <xdr:colOff>0</xdr:colOff>
      <xdr:row>0</xdr:row>
      <xdr:rowOff>0</xdr:rowOff>
    </xdr:from>
    <xdr:to>
      <xdr:col>19</xdr:col>
      <xdr:colOff>314325</xdr:colOff>
      <xdr:row>3</xdr:row>
      <xdr:rowOff>114300</xdr:rowOff>
    </xdr:to>
    <xdr:sp macro="" textlink="">
      <xdr:nvSpPr>
        <xdr:cNvPr id="7" name="TextBox 6">
          <a:extLst>
            <a:ext uri="{FF2B5EF4-FFF2-40B4-BE49-F238E27FC236}">
              <a16:creationId xmlns:a16="http://schemas.microsoft.com/office/drawing/2014/main" id="{8269124A-94E8-B882-A640-632E2FC89FC5}"/>
            </a:ext>
            <a:ext uri="{147F2762-F138-4A5C-976F-8EAC2B608ADB}">
              <a16:predDERef xmlns:a16="http://schemas.microsoft.com/office/drawing/2014/main" pred="{0C9A1905-B58E-75CD-B450-46D5B1EA4587}"/>
            </a:ext>
          </a:extLst>
        </xdr:cNvPr>
        <xdr:cNvSpPr txBox="1"/>
      </xdr:nvSpPr>
      <xdr:spPr>
        <a:xfrm>
          <a:off x="17526000" y="0"/>
          <a:ext cx="4086225" cy="685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marR="0" indent="0" algn="l">
            <a:lnSpc>
              <a:spcPct val="100000"/>
            </a:lnSpc>
            <a:spcBef>
              <a:spcPts val="0"/>
            </a:spcBef>
            <a:spcAft>
              <a:spcPts val="0"/>
            </a:spcAft>
          </a:pPr>
          <a:r>
            <a:rPr lang="en-US" sz="2000" b="0"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rPr>
            <a:t>The mother of every student that scored the max and her education</a:t>
          </a:r>
        </a:p>
      </xdr:txBody>
    </xdr:sp>
    <xdr:clientData/>
  </xdr:twoCellAnchor>
  <xdr:twoCellAnchor>
    <xdr:from>
      <xdr:col>0</xdr:col>
      <xdr:colOff>0</xdr:colOff>
      <xdr:row>13</xdr:row>
      <xdr:rowOff>142875</xdr:rowOff>
    </xdr:from>
    <xdr:to>
      <xdr:col>1</xdr:col>
      <xdr:colOff>2667000</xdr:colOff>
      <xdr:row>16</xdr:row>
      <xdr:rowOff>142875</xdr:rowOff>
    </xdr:to>
    <xdr:sp macro="" textlink="">
      <xdr:nvSpPr>
        <xdr:cNvPr id="8" name="TextBox 7">
          <a:extLst>
            <a:ext uri="{FF2B5EF4-FFF2-40B4-BE49-F238E27FC236}">
              <a16:creationId xmlns:a16="http://schemas.microsoft.com/office/drawing/2014/main" id="{83264519-BD1F-F0E7-5AD4-45D4D3266468}"/>
            </a:ext>
            <a:ext uri="{147F2762-F138-4A5C-976F-8EAC2B608ADB}">
              <a16:predDERef xmlns:a16="http://schemas.microsoft.com/office/drawing/2014/main" pred="{8269124A-94E8-B882-A640-632E2FC89FC5}"/>
            </a:ext>
          </a:extLst>
        </xdr:cNvPr>
        <xdr:cNvSpPr txBox="1"/>
      </xdr:nvSpPr>
      <xdr:spPr>
        <a:xfrm>
          <a:off x="0" y="2619375"/>
          <a:ext cx="5410200" cy="571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marR="0" indent="0" algn="l">
            <a:lnSpc>
              <a:spcPct val="100000"/>
            </a:lnSpc>
            <a:spcBef>
              <a:spcPts val="0"/>
            </a:spcBef>
            <a:spcAft>
              <a:spcPts val="0"/>
            </a:spcAft>
          </a:pPr>
          <a:r>
            <a:rPr lang="en-US" sz="2000" b="0"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rPr>
            <a:t>The father of every student and his education</a:t>
          </a:r>
        </a:p>
      </xdr:txBody>
    </xdr:sp>
    <xdr:clientData/>
  </xdr:twoCellAnchor>
  <xdr:twoCellAnchor>
    <xdr:from>
      <xdr:col>5</xdr:col>
      <xdr:colOff>9525</xdr:colOff>
      <xdr:row>13</xdr:row>
      <xdr:rowOff>95250</xdr:rowOff>
    </xdr:from>
    <xdr:to>
      <xdr:col>8</xdr:col>
      <xdr:colOff>657225</xdr:colOff>
      <xdr:row>17</xdr:row>
      <xdr:rowOff>114300</xdr:rowOff>
    </xdr:to>
    <xdr:sp macro="" textlink="">
      <xdr:nvSpPr>
        <xdr:cNvPr id="9" name="TextBox 8">
          <a:extLst>
            <a:ext uri="{FF2B5EF4-FFF2-40B4-BE49-F238E27FC236}">
              <a16:creationId xmlns:a16="http://schemas.microsoft.com/office/drawing/2014/main" id="{91BDF33E-6C25-7D43-0FC7-74A863AE5287}"/>
            </a:ext>
            <a:ext uri="{147F2762-F138-4A5C-976F-8EAC2B608ADB}">
              <a16:predDERef xmlns:a16="http://schemas.microsoft.com/office/drawing/2014/main" pred="{83264519-BD1F-F0E7-5AD4-45D4D3266468}"/>
            </a:ext>
          </a:extLst>
        </xdr:cNvPr>
        <xdr:cNvSpPr txBox="1"/>
      </xdr:nvSpPr>
      <xdr:spPr>
        <a:xfrm>
          <a:off x="6677025" y="2571750"/>
          <a:ext cx="5334000" cy="7810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marR="0" indent="0" algn="l">
            <a:lnSpc>
              <a:spcPct val="100000"/>
            </a:lnSpc>
            <a:spcBef>
              <a:spcPts val="0"/>
            </a:spcBef>
            <a:spcAft>
              <a:spcPts val="0"/>
            </a:spcAft>
          </a:pPr>
          <a:r>
            <a:rPr lang="en-US" sz="2000" b="0"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rPr>
            <a:t>The father of every student that scored 0 and his education</a:t>
          </a:r>
        </a:p>
      </xdr:txBody>
    </xdr:sp>
    <xdr:clientData/>
  </xdr:twoCellAnchor>
  <xdr:twoCellAnchor>
    <xdr:from>
      <xdr:col>10</xdr:col>
      <xdr:colOff>9525</xdr:colOff>
      <xdr:row>13</xdr:row>
      <xdr:rowOff>57150</xdr:rowOff>
    </xdr:from>
    <xdr:to>
      <xdr:col>14</xdr:col>
      <xdr:colOff>0</xdr:colOff>
      <xdr:row>17</xdr:row>
      <xdr:rowOff>76200</xdr:rowOff>
    </xdr:to>
    <xdr:sp macro="" textlink="">
      <xdr:nvSpPr>
        <xdr:cNvPr id="10" name="TextBox 9">
          <a:extLst>
            <a:ext uri="{FF2B5EF4-FFF2-40B4-BE49-F238E27FC236}">
              <a16:creationId xmlns:a16="http://schemas.microsoft.com/office/drawing/2014/main" id="{3868E182-BA69-4C3D-57C4-667535738E34}"/>
            </a:ext>
            <a:ext uri="{147F2762-F138-4A5C-976F-8EAC2B608ADB}">
              <a16:predDERef xmlns:a16="http://schemas.microsoft.com/office/drawing/2014/main" pred="{91BDF33E-6C25-7D43-0FC7-74A863AE5287}"/>
            </a:ext>
          </a:extLst>
        </xdr:cNvPr>
        <xdr:cNvSpPr txBox="1"/>
      </xdr:nvSpPr>
      <xdr:spPr>
        <a:xfrm>
          <a:off x="14087475" y="2533650"/>
          <a:ext cx="4248150" cy="7810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marR="0" indent="0" algn="l">
            <a:lnSpc>
              <a:spcPct val="100000"/>
            </a:lnSpc>
            <a:spcBef>
              <a:spcPts val="0"/>
            </a:spcBef>
            <a:spcAft>
              <a:spcPts val="0"/>
            </a:spcAft>
          </a:pPr>
          <a:r>
            <a:rPr lang="en-US" sz="2000" b="0" i="0" u="none" strike="noStrike">
              <a:solidFill>
                <a:srgbClr val="C00000"/>
              </a:solidFill>
              <a:latin typeface="Calibri" panose="020F0502020204030204" pitchFamily="34" charset="0"/>
              <a:ea typeface="Calibri" panose="020F0502020204030204" pitchFamily="34" charset="0"/>
              <a:cs typeface="Calibri" panose="020F0502020204030204" pitchFamily="34" charset="0"/>
            </a:rPr>
            <a:t>The father of every student that scored the median and his education</a:t>
          </a:r>
        </a:p>
      </xdr:txBody>
    </xdr:sp>
    <xdr:clientData/>
  </xdr:twoCellAnchor>
  <xdr:twoCellAnchor>
    <xdr:from>
      <xdr:col>14</xdr:col>
      <xdr:colOff>590550</xdr:colOff>
      <xdr:row>12</xdr:row>
      <xdr:rowOff>161925</xdr:rowOff>
    </xdr:from>
    <xdr:to>
      <xdr:col>19</xdr:col>
      <xdr:colOff>400050</xdr:colOff>
      <xdr:row>17</xdr:row>
      <xdr:rowOff>47625</xdr:rowOff>
    </xdr:to>
    <xdr:sp macro="" textlink="">
      <xdr:nvSpPr>
        <xdr:cNvPr id="11" name="TextBox 10">
          <a:extLst>
            <a:ext uri="{FF2B5EF4-FFF2-40B4-BE49-F238E27FC236}">
              <a16:creationId xmlns:a16="http://schemas.microsoft.com/office/drawing/2014/main" id="{E0A2C1B9-BBC5-47CA-FA05-1288CBEFA2DE}"/>
            </a:ext>
            <a:ext uri="{147F2762-F138-4A5C-976F-8EAC2B608ADB}">
              <a16:predDERef xmlns:a16="http://schemas.microsoft.com/office/drawing/2014/main" pred="{3868E182-BA69-4C3D-57C4-667535738E34}"/>
            </a:ext>
          </a:extLst>
        </xdr:cNvPr>
        <xdr:cNvSpPr txBox="1"/>
      </xdr:nvSpPr>
      <xdr:spPr>
        <a:xfrm>
          <a:off x="18926175" y="2447925"/>
          <a:ext cx="4572000" cy="838200"/>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397</xdr:row>
      <xdr:rowOff>0</xdr:rowOff>
    </xdr:from>
    <xdr:to>
      <xdr:col>6</xdr:col>
      <xdr:colOff>838200</xdr:colOff>
      <xdr:row>402</xdr:row>
      <xdr:rowOff>152400</xdr:rowOff>
    </xdr:to>
    <xdr:sp macro="" textlink="">
      <xdr:nvSpPr>
        <xdr:cNvPr id="2" name="TextBox 1">
          <a:extLst>
            <a:ext uri="{FF2B5EF4-FFF2-40B4-BE49-F238E27FC236}">
              <a16:creationId xmlns:a16="http://schemas.microsoft.com/office/drawing/2014/main" id="{770670B9-A66A-B191-CC15-B60858291830}"/>
            </a:ext>
          </a:extLst>
        </xdr:cNvPr>
        <xdr:cNvSpPr txBox="1"/>
      </xdr:nvSpPr>
      <xdr:spPr>
        <a:xfrm>
          <a:off x="0" y="71847075"/>
          <a:ext cx="5857875" cy="10572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Data acquired from Kaggle- </a:t>
          </a:r>
          <a:endParaRPr lang="en-US" sz="1100" b="0" i="0" u="none" strike="noStrike">
            <a:solidFill>
              <a:srgbClr val="000000"/>
            </a:solidFill>
            <a:latin typeface="+mn-lt"/>
            <a:ea typeface="+mn-lt"/>
            <a:cs typeface="+mn-lt"/>
          </a:endParaRPr>
        </a:p>
        <a:p>
          <a:pPr marL="0" indent="0" algn="l"/>
          <a:endParaRPr lang="en-US" sz="1100" b="0" i="0" u="none" strike="noStrike">
            <a:solidFill>
              <a:srgbClr val="000000"/>
            </a:solidFill>
            <a:latin typeface="+mn-lt"/>
            <a:ea typeface="+mn-lt"/>
            <a:cs typeface="+mn-lt"/>
          </a:endParaRPr>
        </a:p>
        <a:p>
          <a:pPr marL="0" indent="0" algn="l"/>
          <a:r>
            <a:rPr lang="en-US" sz="1100">
              <a:latin typeface="+mn-lt"/>
              <a:ea typeface="+mn-lt"/>
              <a:cs typeface="+mn-lt"/>
            </a:rPr>
            <a:t>P. Cortez and A. Silva. Using Data Mining to Predict Secondary School Student Performance. In A. Brito and J. Teixeira Eds., Proceedings of 5th FUture BUsiness TEChnology Conference (FUBUTEC 2008) pp. 5-12, Porto, Portugal, April, 2008, EUROSIS, ISBN 978-9077381-39-7.</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74.762631481484" createdVersion="8" refreshedVersion="8" minRefreshableVersion="3" recordCount="395" xr:uid="{12E743EA-07F1-4DE8-ABD8-A6B414CFF050}">
  <cacheSource type="worksheet">
    <worksheetSource name="Table1"/>
  </cacheSource>
  <cacheFields count="23">
    <cacheField name="student_id" numFmtId="0">
      <sharedItems containsSemiMixedTypes="0" containsString="0" containsNumber="1" containsInteger="1" minValue="1" maxValue="395"/>
    </cacheField>
    <cacheField name="school" numFmtId="0">
      <sharedItems/>
    </cacheField>
    <cacheField name="sex" numFmtId="0">
      <sharedItems count="2">
        <s v="F"/>
        <s v="M"/>
      </sharedItems>
    </cacheField>
    <cacheField name="age" numFmtId="0">
      <sharedItems containsSemiMixedTypes="0" containsString="0" containsNumber="1" containsInteger="1" minValue="15" maxValue="22" count="8">
        <n v="18"/>
        <n v="17"/>
        <n v="15"/>
        <n v="16"/>
        <n v="19"/>
        <n v="21"/>
        <n v="22"/>
        <n v="20"/>
      </sharedItems>
    </cacheField>
    <cacheField name="address_type" numFmtId="0">
      <sharedItems/>
    </cacheField>
    <cacheField name="family_size" numFmtId="0">
      <sharedItems/>
    </cacheField>
    <cacheField name="parent_status" numFmtId="0">
      <sharedItems/>
    </cacheField>
    <cacheField name="mother_education" numFmtId="0">
      <sharedItems count="5">
        <s v="primary education (4th grade)"/>
        <s v="5th to 9th grade"/>
        <s v="secondary education"/>
        <s v="higher education"/>
        <s v="none"/>
      </sharedItems>
    </cacheField>
    <cacheField name="father_education" numFmtId="0">
      <sharedItems count="5">
        <s v="primary education (4th grade)"/>
        <s v="5th to 9th grade"/>
        <s v="higher education"/>
        <s v="secondary education"/>
        <s v="none"/>
      </sharedItems>
    </cacheField>
    <cacheField name="mother_job" numFmtId="0">
      <sharedItems/>
    </cacheField>
    <cacheField name="father_job" numFmtId="0">
      <sharedItems/>
    </cacheField>
    <cacheField name="study_time" numFmtId="0">
      <sharedItems count="4">
        <s v="2 to 5 hours"/>
        <s v="&gt;10 hours"/>
        <s v="&lt;2 hours"/>
        <s v="5 to 10 hours"/>
      </sharedItems>
    </cacheField>
    <cacheField name="class_failures" numFmtId="0">
      <sharedItems containsSemiMixedTypes="0" containsString="0" containsNumber="1" containsInteger="1" minValue="0" maxValue="3"/>
    </cacheField>
    <cacheField name="school_support" numFmtId="0">
      <sharedItems/>
    </cacheField>
    <cacheField name="extra_paid_classes" numFmtId="0">
      <sharedItems/>
    </cacheField>
    <cacheField name="activities" numFmtId="0">
      <sharedItems/>
    </cacheField>
    <cacheField name="nursery_school" numFmtId="0">
      <sharedItems/>
    </cacheField>
    <cacheField name="internet_access" numFmtId="0">
      <sharedItems/>
    </cacheField>
    <cacheField name="romantic_relationship" numFmtId="0">
      <sharedItems/>
    </cacheField>
    <cacheField name="absences" numFmtId="0">
      <sharedItems containsSemiMixedTypes="0" containsString="0" containsNumber="1" containsInteger="1" minValue="0" maxValue="75"/>
    </cacheField>
    <cacheField name="grade_1" numFmtId="0">
      <sharedItems containsSemiMixedTypes="0" containsString="0" containsNumber="1" containsInteger="1" minValue="3" maxValue="19"/>
    </cacheField>
    <cacheField name="grade_2" numFmtId="0">
      <sharedItems containsSemiMixedTypes="0" containsString="0" containsNumber="1" containsInteger="1" minValue="0" maxValue="19"/>
    </cacheField>
    <cacheField name="final_grade" numFmtId="0">
      <sharedItems containsSemiMixedTypes="0" containsString="0" containsNumber="1" containsInteger="1" minValue="0" maxValue="20" count="18">
        <n v="0"/>
        <n v="4"/>
        <n v="5"/>
        <n v="6"/>
        <n v="7"/>
        <n v="8"/>
        <n v="9"/>
        <n v="10"/>
        <n v="11"/>
        <n v="12"/>
        <n v="13"/>
        <n v="14"/>
        <n v="15"/>
        <n v="16"/>
        <n v="17"/>
        <n v="18"/>
        <n v="19"/>
        <n v="2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5">
  <r>
    <n v="390"/>
    <s v="MS"/>
    <x v="0"/>
    <x v="0"/>
    <s v="Urban"/>
    <s v="Greater than 3"/>
    <s v="Living together"/>
    <x v="0"/>
    <x v="0"/>
    <s v="other"/>
    <s v="other"/>
    <x v="0"/>
    <n v="1"/>
    <s v="no"/>
    <s v="no"/>
    <s v="yes"/>
    <s v="yes"/>
    <s v="no"/>
    <s v="no"/>
    <n v="0"/>
    <n v="6"/>
    <n v="5"/>
    <x v="0"/>
  </r>
  <r>
    <n v="260"/>
    <s v="GP"/>
    <x v="0"/>
    <x v="1"/>
    <s v="Urban"/>
    <s v="Less than or equal to 3"/>
    <s v="Living together"/>
    <x v="1"/>
    <x v="1"/>
    <s v="services"/>
    <s v="services"/>
    <x v="1"/>
    <n v="0"/>
    <s v="no"/>
    <s v="yes"/>
    <s v="yes"/>
    <s v="yes"/>
    <s v="yes"/>
    <s v="yes"/>
    <n v="0"/>
    <n v="10"/>
    <n v="9"/>
    <x v="0"/>
  </r>
  <r>
    <n v="344"/>
    <s v="GP"/>
    <x v="0"/>
    <x v="1"/>
    <s v="Urban"/>
    <s v="Greater than 3"/>
    <s v="Apart"/>
    <x v="1"/>
    <x v="1"/>
    <s v="at_home"/>
    <s v="at_home"/>
    <x v="0"/>
    <n v="1"/>
    <s v="no"/>
    <s v="no"/>
    <s v="no"/>
    <s v="yes"/>
    <s v="yes"/>
    <s v="yes"/>
    <n v="0"/>
    <n v="9"/>
    <n v="8"/>
    <x v="0"/>
  </r>
  <r>
    <n v="368"/>
    <s v="MS"/>
    <x v="0"/>
    <x v="1"/>
    <s v="Rural"/>
    <s v="Greater than 3"/>
    <s v="Living together"/>
    <x v="0"/>
    <x v="0"/>
    <s v="other"/>
    <s v="services"/>
    <x v="2"/>
    <n v="1"/>
    <s v="no"/>
    <s v="yes"/>
    <s v="no"/>
    <s v="yes"/>
    <s v="yes"/>
    <s v="yes"/>
    <n v="0"/>
    <n v="7"/>
    <n v="6"/>
    <x v="0"/>
  </r>
  <r>
    <n v="147"/>
    <s v="GP"/>
    <x v="0"/>
    <x v="2"/>
    <s v="Urban"/>
    <s v="Greater than 3"/>
    <s v="Living together"/>
    <x v="2"/>
    <x v="1"/>
    <s v="health"/>
    <s v="services"/>
    <x v="0"/>
    <n v="3"/>
    <s v="no"/>
    <s v="no"/>
    <s v="no"/>
    <s v="yes"/>
    <s v="yes"/>
    <s v="no"/>
    <n v="0"/>
    <n v="6"/>
    <n v="7"/>
    <x v="0"/>
  </r>
  <r>
    <n v="131"/>
    <s v="GP"/>
    <x v="0"/>
    <x v="2"/>
    <s v="Rural"/>
    <s v="Greater than 3"/>
    <s v="Living together"/>
    <x v="2"/>
    <x v="2"/>
    <s v="services"/>
    <s v="teacher"/>
    <x v="3"/>
    <n v="2"/>
    <s v="no"/>
    <s v="no"/>
    <s v="no"/>
    <s v="yes"/>
    <s v="yes"/>
    <s v="yes"/>
    <n v="0"/>
    <n v="12"/>
    <n v="0"/>
    <x v="0"/>
  </r>
  <r>
    <n v="138"/>
    <s v="GP"/>
    <x v="0"/>
    <x v="3"/>
    <s v="Urban"/>
    <s v="Greater than 3"/>
    <s v="Apart"/>
    <x v="2"/>
    <x v="3"/>
    <s v="other"/>
    <s v="other"/>
    <x v="2"/>
    <n v="2"/>
    <s v="no"/>
    <s v="no"/>
    <s v="yes"/>
    <s v="no"/>
    <s v="yes"/>
    <s v="yes"/>
    <n v="0"/>
    <n v="4"/>
    <n v="0"/>
    <x v="0"/>
  </r>
  <r>
    <n v="338"/>
    <s v="GP"/>
    <x v="0"/>
    <x v="1"/>
    <s v="Urban"/>
    <s v="Greater than 3"/>
    <s v="Living together"/>
    <x v="2"/>
    <x v="1"/>
    <s v="other"/>
    <s v="other"/>
    <x v="0"/>
    <n v="0"/>
    <s v="no"/>
    <s v="yes"/>
    <s v="no"/>
    <s v="yes"/>
    <s v="yes"/>
    <s v="yes"/>
    <n v="0"/>
    <n v="7"/>
    <n v="8"/>
    <x v="0"/>
  </r>
  <r>
    <n v="388"/>
    <s v="MS"/>
    <x v="0"/>
    <x v="4"/>
    <s v="Rural"/>
    <s v="Greater than 3"/>
    <s v="Living together"/>
    <x v="1"/>
    <x v="3"/>
    <s v="services"/>
    <s v="other"/>
    <x v="3"/>
    <n v="1"/>
    <s v="no"/>
    <s v="no"/>
    <s v="yes"/>
    <s v="no"/>
    <s v="yes"/>
    <s v="no"/>
    <n v="0"/>
    <n v="7"/>
    <n v="5"/>
    <x v="0"/>
  </r>
  <r>
    <n v="265"/>
    <s v="GP"/>
    <x v="0"/>
    <x v="0"/>
    <s v="Urban"/>
    <s v="Greater than 3"/>
    <s v="Living together"/>
    <x v="1"/>
    <x v="1"/>
    <s v="at_home"/>
    <s v="services"/>
    <x v="3"/>
    <n v="0"/>
    <s v="no"/>
    <s v="yes"/>
    <s v="yes"/>
    <s v="yes"/>
    <s v="yes"/>
    <s v="yes"/>
    <n v="0"/>
    <n v="9"/>
    <n v="10"/>
    <x v="0"/>
  </r>
  <r>
    <n v="334"/>
    <s v="GP"/>
    <x v="0"/>
    <x v="0"/>
    <s v="Urban"/>
    <s v="Less than or equal to 3"/>
    <s v="Living together"/>
    <x v="1"/>
    <x v="1"/>
    <s v="other"/>
    <s v="other"/>
    <x v="0"/>
    <n v="0"/>
    <s v="no"/>
    <s v="no"/>
    <s v="yes"/>
    <s v="no"/>
    <s v="yes"/>
    <s v="yes"/>
    <n v="0"/>
    <n v="8"/>
    <n v="8"/>
    <x v="0"/>
  </r>
  <r>
    <n v="136"/>
    <s v="GP"/>
    <x v="0"/>
    <x v="2"/>
    <s v="Urban"/>
    <s v="Greater than 3"/>
    <s v="Living together"/>
    <x v="3"/>
    <x v="2"/>
    <s v="services"/>
    <s v="at_home"/>
    <x v="3"/>
    <n v="0"/>
    <s v="no"/>
    <s v="no"/>
    <s v="yes"/>
    <s v="yes"/>
    <s v="yes"/>
    <s v="yes"/>
    <n v="0"/>
    <n v="11"/>
    <n v="0"/>
    <x v="0"/>
  </r>
  <r>
    <n v="132"/>
    <s v="GP"/>
    <x v="0"/>
    <x v="2"/>
    <s v="Urban"/>
    <s v="Greater than 3"/>
    <s v="Living together"/>
    <x v="0"/>
    <x v="0"/>
    <s v="at_home"/>
    <s v="other"/>
    <x v="2"/>
    <n v="0"/>
    <s v="no"/>
    <s v="no"/>
    <s v="yes"/>
    <s v="no"/>
    <s v="yes"/>
    <s v="yes"/>
    <n v="0"/>
    <n v="8"/>
    <n v="0"/>
    <x v="0"/>
  </r>
  <r>
    <n v="317"/>
    <s v="GP"/>
    <x v="0"/>
    <x v="0"/>
    <s v="Urban"/>
    <s v="Greater than 3"/>
    <s v="Living together"/>
    <x v="1"/>
    <x v="0"/>
    <s v="services"/>
    <s v="other"/>
    <x v="0"/>
    <n v="0"/>
    <s v="no"/>
    <s v="yes"/>
    <s v="yes"/>
    <s v="yes"/>
    <s v="yes"/>
    <s v="no"/>
    <n v="0"/>
    <n v="8"/>
    <n v="8"/>
    <x v="0"/>
  </r>
  <r>
    <n v="297"/>
    <s v="GP"/>
    <x v="0"/>
    <x v="4"/>
    <s v="Urban"/>
    <s v="Greater than 3"/>
    <s v="Living together"/>
    <x v="3"/>
    <x v="2"/>
    <s v="health"/>
    <s v="other"/>
    <x v="0"/>
    <n v="0"/>
    <s v="no"/>
    <s v="yes"/>
    <s v="yes"/>
    <s v="yes"/>
    <s v="yes"/>
    <s v="no"/>
    <n v="0"/>
    <n v="10"/>
    <n v="9"/>
    <x v="0"/>
  </r>
  <r>
    <n v="245"/>
    <s v="GP"/>
    <x v="0"/>
    <x v="0"/>
    <s v="Urban"/>
    <s v="Greater than 3"/>
    <s v="Living together"/>
    <x v="1"/>
    <x v="0"/>
    <s v="other"/>
    <s v="other"/>
    <x v="3"/>
    <n v="0"/>
    <s v="no"/>
    <s v="yes"/>
    <s v="no"/>
    <s v="no"/>
    <s v="yes"/>
    <s v="yes"/>
    <n v="0"/>
    <n v="7"/>
    <n v="0"/>
    <x v="0"/>
  </r>
  <r>
    <n v="335"/>
    <s v="GP"/>
    <x v="0"/>
    <x v="0"/>
    <s v="Rural"/>
    <s v="Greater than 3"/>
    <s v="Living together"/>
    <x v="1"/>
    <x v="1"/>
    <s v="at_home"/>
    <s v="other"/>
    <x v="1"/>
    <n v="0"/>
    <s v="no"/>
    <s v="no"/>
    <s v="yes"/>
    <s v="yes"/>
    <s v="no"/>
    <s v="no"/>
    <n v="0"/>
    <n v="10"/>
    <n v="9"/>
    <x v="0"/>
  </r>
  <r>
    <n v="222"/>
    <s v="GP"/>
    <x v="0"/>
    <x v="1"/>
    <s v="Urban"/>
    <s v="Greater than 3"/>
    <s v="Living together"/>
    <x v="0"/>
    <x v="0"/>
    <s v="at_home"/>
    <s v="other"/>
    <x v="3"/>
    <n v="1"/>
    <s v="no"/>
    <s v="no"/>
    <s v="yes"/>
    <s v="yes"/>
    <s v="no"/>
    <s v="yes"/>
    <n v="0"/>
    <n v="6"/>
    <n v="5"/>
    <x v="0"/>
  </r>
  <r>
    <n v="311"/>
    <s v="GP"/>
    <x v="0"/>
    <x v="4"/>
    <s v="Urban"/>
    <s v="Less than or equal to 3"/>
    <s v="Living together"/>
    <x v="0"/>
    <x v="1"/>
    <s v="services"/>
    <s v="services"/>
    <x v="0"/>
    <n v="1"/>
    <s v="no"/>
    <s v="no"/>
    <s v="yes"/>
    <s v="no"/>
    <s v="no"/>
    <s v="yes"/>
    <n v="0"/>
    <n v="9"/>
    <n v="9"/>
    <x v="0"/>
  </r>
  <r>
    <n v="333"/>
    <s v="GP"/>
    <x v="0"/>
    <x v="0"/>
    <s v="Urban"/>
    <s v="Greater than 3"/>
    <s v="Living together"/>
    <x v="2"/>
    <x v="3"/>
    <s v="services"/>
    <s v="services"/>
    <x v="0"/>
    <n v="0"/>
    <s v="no"/>
    <s v="no"/>
    <s v="yes"/>
    <s v="yes"/>
    <s v="yes"/>
    <s v="no"/>
    <n v="0"/>
    <n v="7"/>
    <n v="0"/>
    <x v="0"/>
  </r>
  <r>
    <n v="270"/>
    <s v="GP"/>
    <x v="0"/>
    <x v="0"/>
    <s v="Rural"/>
    <s v="Greater than 3"/>
    <s v="Living together"/>
    <x v="1"/>
    <x v="0"/>
    <s v="other"/>
    <s v="other"/>
    <x v="0"/>
    <n v="0"/>
    <s v="no"/>
    <s v="no"/>
    <s v="no"/>
    <s v="yes"/>
    <s v="yes"/>
    <s v="yes"/>
    <n v="0"/>
    <n v="6"/>
    <n v="0"/>
    <x v="0"/>
  </r>
  <r>
    <n v="174"/>
    <s v="GP"/>
    <x v="0"/>
    <x v="3"/>
    <s v="Urban"/>
    <s v="Greater than 3"/>
    <s v="Living together"/>
    <x v="0"/>
    <x v="3"/>
    <s v="at_home"/>
    <s v="services"/>
    <x v="0"/>
    <n v="3"/>
    <s v="no"/>
    <s v="no"/>
    <s v="yes"/>
    <s v="no"/>
    <s v="yes"/>
    <s v="yes"/>
    <n v="0"/>
    <n v="8"/>
    <n v="7"/>
    <x v="0"/>
  </r>
  <r>
    <n v="169"/>
    <s v="GP"/>
    <x v="0"/>
    <x v="3"/>
    <s v="Urban"/>
    <s v="Greater than 3"/>
    <s v="Living together"/>
    <x v="1"/>
    <x v="1"/>
    <s v="other"/>
    <s v="other"/>
    <x v="0"/>
    <n v="0"/>
    <s v="no"/>
    <s v="yes"/>
    <s v="no"/>
    <s v="no"/>
    <s v="yes"/>
    <s v="no"/>
    <n v="0"/>
    <n v="6"/>
    <n v="7"/>
    <x v="0"/>
  </r>
  <r>
    <n v="141"/>
    <s v="GP"/>
    <x v="1"/>
    <x v="2"/>
    <s v="Urban"/>
    <s v="Greater than 3"/>
    <s v="Living together"/>
    <x v="3"/>
    <x v="3"/>
    <s v="teacher"/>
    <s v="services"/>
    <x v="1"/>
    <n v="0"/>
    <s v="yes"/>
    <s v="no"/>
    <s v="no"/>
    <s v="yes"/>
    <s v="yes"/>
    <s v="no"/>
    <n v="0"/>
    <n v="7"/>
    <n v="9"/>
    <x v="0"/>
  </r>
  <r>
    <n v="161"/>
    <s v="GP"/>
    <x v="1"/>
    <x v="1"/>
    <s v="Rural"/>
    <s v="Less than or equal to 3"/>
    <s v="Living together"/>
    <x v="1"/>
    <x v="0"/>
    <s v="at_home"/>
    <s v="other"/>
    <x v="2"/>
    <n v="2"/>
    <s v="no"/>
    <s v="no"/>
    <s v="yes"/>
    <s v="yes"/>
    <s v="yes"/>
    <s v="yes"/>
    <n v="0"/>
    <n v="7"/>
    <n v="6"/>
    <x v="0"/>
  </r>
  <r>
    <n v="149"/>
    <s v="GP"/>
    <x v="1"/>
    <x v="3"/>
    <s v="Urban"/>
    <s v="Greater than 3"/>
    <s v="Living together"/>
    <x v="3"/>
    <x v="2"/>
    <s v="teacher"/>
    <s v="teacher"/>
    <x v="2"/>
    <n v="0"/>
    <s v="no"/>
    <s v="no"/>
    <s v="no"/>
    <s v="yes"/>
    <s v="yes"/>
    <s v="yes"/>
    <n v="0"/>
    <n v="7"/>
    <n v="6"/>
    <x v="0"/>
  </r>
  <r>
    <n v="384"/>
    <s v="MS"/>
    <x v="1"/>
    <x v="4"/>
    <s v="Rural"/>
    <s v="Greater than 3"/>
    <s v="Living together"/>
    <x v="0"/>
    <x v="0"/>
    <s v="other"/>
    <s v="services"/>
    <x v="2"/>
    <n v="1"/>
    <s v="no"/>
    <s v="no"/>
    <s v="no"/>
    <s v="yes"/>
    <s v="no"/>
    <s v="no"/>
    <n v="0"/>
    <n v="6"/>
    <n v="5"/>
    <x v="0"/>
  </r>
  <r>
    <n v="129"/>
    <s v="GP"/>
    <x v="1"/>
    <x v="0"/>
    <s v="Rural"/>
    <s v="Greater than 3"/>
    <s v="Living together"/>
    <x v="1"/>
    <x v="1"/>
    <s v="services"/>
    <s v="other"/>
    <x v="2"/>
    <n v="2"/>
    <s v="no"/>
    <s v="no"/>
    <s v="yes"/>
    <s v="yes"/>
    <s v="yes"/>
    <s v="no"/>
    <n v="0"/>
    <n v="7"/>
    <n v="4"/>
    <x v="0"/>
  </r>
  <r>
    <n v="342"/>
    <s v="GP"/>
    <x v="1"/>
    <x v="0"/>
    <s v="Urban"/>
    <s v="Greater than 3"/>
    <s v="Living together"/>
    <x v="3"/>
    <x v="2"/>
    <s v="teacher"/>
    <s v="services"/>
    <x v="0"/>
    <n v="1"/>
    <s v="no"/>
    <s v="no"/>
    <s v="yes"/>
    <s v="yes"/>
    <s v="yes"/>
    <s v="no"/>
    <n v="0"/>
    <n v="10"/>
    <n v="10"/>
    <x v="0"/>
  </r>
  <r>
    <n v="135"/>
    <s v="GP"/>
    <x v="1"/>
    <x v="2"/>
    <s v="Rural"/>
    <s v="Greater than 3"/>
    <s v="Living together"/>
    <x v="2"/>
    <x v="2"/>
    <s v="at_home"/>
    <s v="teacher"/>
    <x v="0"/>
    <n v="0"/>
    <s v="no"/>
    <s v="no"/>
    <s v="no"/>
    <s v="yes"/>
    <s v="no"/>
    <s v="yes"/>
    <n v="0"/>
    <n v="9"/>
    <n v="0"/>
    <x v="0"/>
  </r>
  <r>
    <n v="163"/>
    <s v="GP"/>
    <x v="1"/>
    <x v="3"/>
    <s v="Urban"/>
    <s v="Less than or equal to 3"/>
    <s v="Living together"/>
    <x v="0"/>
    <x v="1"/>
    <s v="other"/>
    <s v="other"/>
    <x v="2"/>
    <n v="1"/>
    <s v="no"/>
    <s v="no"/>
    <s v="yes"/>
    <s v="yes"/>
    <s v="no"/>
    <s v="no"/>
    <n v="0"/>
    <n v="7"/>
    <n v="0"/>
    <x v="0"/>
  </r>
  <r>
    <n v="154"/>
    <s v="GP"/>
    <x v="1"/>
    <x v="4"/>
    <s v="Urban"/>
    <s v="Greater than 3"/>
    <s v="Living together"/>
    <x v="2"/>
    <x v="1"/>
    <s v="services"/>
    <s v="at_home"/>
    <x v="2"/>
    <n v="3"/>
    <s v="no"/>
    <s v="no"/>
    <s v="no"/>
    <s v="yes"/>
    <s v="yes"/>
    <s v="yes"/>
    <n v="0"/>
    <n v="5"/>
    <n v="0"/>
    <x v="0"/>
  </r>
  <r>
    <n v="240"/>
    <s v="GP"/>
    <x v="1"/>
    <x v="0"/>
    <s v="Urban"/>
    <s v="Greater than 3"/>
    <s v="Living together"/>
    <x v="1"/>
    <x v="1"/>
    <s v="other"/>
    <s v="services"/>
    <x v="0"/>
    <n v="1"/>
    <s v="no"/>
    <s v="no"/>
    <s v="no"/>
    <s v="yes"/>
    <s v="yes"/>
    <s v="no"/>
    <n v="0"/>
    <n v="7"/>
    <n v="7"/>
    <x v="0"/>
  </r>
  <r>
    <n v="151"/>
    <s v="GP"/>
    <x v="1"/>
    <x v="0"/>
    <s v="Urban"/>
    <s v="Less than or equal to 3"/>
    <s v="Living together"/>
    <x v="0"/>
    <x v="0"/>
    <s v="other"/>
    <s v="other"/>
    <x v="2"/>
    <n v="3"/>
    <s v="no"/>
    <s v="no"/>
    <s v="no"/>
    <s v="yes"/>
    <s v="yes"/>
    <s v="yes"/>
    <n v="0"/>
    <n v="6"/>
    <n v="5"/>
    <x v="0"/>
  </r>
  <r>
    <n v="171"/>
    <s v="GP"/>
    <x v="1"/>
    <x v="3"/>
    <s v="Urban"/>
    <s v="Greater than 3"/>
    <s v="Living together"/>
    <x v="2"/>
    <x v="2"/>
    <s v="other"/>
    <s v="other"/>
    <x v="2"/>
    <n v="2"/>
    <s v="no"/>
    <s v="no"/>
    <s v="yes"/>
    <s v="no"/>
    <s v="yes"/>
    <s v="no"/>
    <n v="0"/>
    <n v="6"/>
    <n v="5"/>
    <x v="0"/>
  </r>
  <r>
    <n v="145"/>
    <s v="GP"/>
    <x v="1"/>
    <x v="1"/>
    <s v="Urban"/>
    <s v="Greater than 3"/>
    <s v="Living together"/>
    <x v="1"/>
    <x v="0"/>
    <s v="other"/>
    <s v="other"/>
    <x v="2"/>
    <n v="3"/>
    <s v="no"/>
    <s v="no"/>
    <s v="no"/>
    <s v="yes"/>
    <s v="yes"/>
    <s v="no"/>
    <n v="0"/>
    <n v="5"/>
    <n v="0"/>
    <x v="0"/>
  </r>
  <r>
    <n v="243"/>
    <s v="GP"/>
    <x v="1"/>
    <x v="3"/>
    <s v="Urban"/>
    <s v="Less than or equal to 3"/>
    <s v="Living together"/>
    <x v="3"/>
    <x v="3"/>
    <s v="teacher"/>
    <s v="other"/>
    <x v="2"/>
    <n v="0"/>
    <s v="no"/>
    <s v="no"/>
    <s v="yes"/>
    <s v="no"/>
    <s v="yes"/>
    <s v="no"/>
    <n v="0"/>
    <n v="6"/>
    <n v="0"/>
    <x v="0"/>
  </r>
  <r>
    <n v="137"/>
    <s v="GP"/>
    <x v="1"/>
    <x v="1"/>
    <s v="Rural"/>
    <s v="Greater than 3"/>
    <s v="Living together"/>
    <x v="2"/>
    <x v="2"/>
    <s v="at_home"/>
    <s v="other"/>
    <x v="0"/>
    <n v="0"/>
    <s v="no"/>
    <s v="no"/>
    <s v="no"/>
    <s v="yes"/>
    <s v="no"/>
    <s v="no"/>
    <n v="0"/>
    <n v="10"/>
    <n v="0"/>
    <x v="0"/>
  </r>
  <r>
    <n v="217"/>
    <s v="GP"/>
    <x v="0"/>
    <x v="1"/>
    <s v="Urban"/>
    <s v="Greater than 3"/>
    <s v="Living together"/>
    <x v="3"/>
    <x v="3"/>
    <s v="other"/>
    <s v="other"/>
    <x v="0"/>
    <n v="2"/>
    <s v="no"/>
    <s v="yes"/>
    <s v="no"/>
    <s v="yes"/>
    <s v="yes"/>
    <s v="yes"/>
    <n v="22"/>
    <n v="6"/>
    <n v="6"/>
    <x v="1"/>
  </r>
  <r>
    <n v="80"/>
    <s v="GP"/>
    <x v="0"/>
    <x v="3"/>
    <s v="Urban"/>
    <s v="Greater than 3"/>
    <s v="Living together"/>
    <x v="2"/>
    <x v="2"/>
    <s v="at_home"/>
    <s v="other"/>
    <x v="0"/>
    <n v="0"/>
    <s v="no"/>
    <s v="no"/>
    <s v="no"/>
    <s v="yes"/>
    <s v="yes"/>
    <s v="no"/>
    <n v="12"/>
    <n v="5"/>
    <n v="5"/>
    <x v="2"/>
  </r>
  <r>
    <n v="73"/>
    <s v="GP"/>
    <x v="0"/>
    <x v="2"/>
    <s v="Rural"/>
    <s v="Greater than 3"/>
    <s v="Living together"/>
    <x v="0"/>
    <x v="0"/>
    <s v="other"/>
    <s v="other"/>
    <x v="0"/>
    <n v="2"/>
    <s v="yes"/>
    <s v="no"/>
    <s v="no"/>
    <s v="no"/>
    <s v="yes"/>
    <s v="yes"/>
    <n v="2"/>
    <n v="8"/>
    <n v="6"/>
    <x v="2"/>
  </r>
  <r>
    <n v="374"/>
    <s v="MS"/>
    <x v="0"/>
    <x v="1"/>
    <s v="Rural"/>
    <s v="Greater than 3"/>
    <s v="Living together"/>
    <x v="0"/>
    <x v="1"/>
    <s v="other"/>
    <s v="other"/>
    <x v="2"/>
    <n v="0"/>
    <s v="no"/>
    <s v="no"/>
    <s v="yes"/>
    <s v="yes"/>
    <s v="yes"/>
    <s v="no"/>
    <n v="14"/>
    <n v="6"/>
    <n v="5"/>
    <x v="2"/>
  </r>
  <r>
    <n v="249"/>
    <s v="GP"/>
    <x v="1"/>
    <x v="0"/>
    <s v="Rural"/>
    <s v="Less than or equal to 3"/>
    <s v="Living together"/>
    <x v="2"/>
    <x v="3"/>
    <s v="other"/>
    <s v="services"/>
    <x v="0"/>
    <n v="1"/>
    <s v="no"/>
    <s v="no"/>
    <s v="no"/>
    <s v="yes"/>
    <s v="yes"/>
    <s v="yes"/>
    <n v="8"/>
    <n v="3"/>
    <n v="5"/>
    <x v="2"/>
  </r>
  <r>
    <n v="385"/>
    <s v="MS"/>
    <x v="1"/>
    <x v="0"/>
    <s v="Rural"/>
    <s v="Greater than 3"/>
    <s v="Living together"/>
    <x v="3"/>
    <x v="1"/>
    <s v="other"/>
    <s v="other"/>
    <x v="2"/>
    <n v="1"/>
    <s v="no"/>
    <s v="yes"/>
    <s v="no"/>
    <s v="yes"/>
    <s v="no"/>
    <s v="no"/>
    <n v="14"/>
    <n v="6"/>
    <n v="5"/>
    <x v="2"/>
  </r>
  <r>
    <n v="101"/>
    <s v="GP"/>
    <x v="1"/>
    <x v="3"/>
    <s v="Urban"/>
    <s v="Greater than 3"/>
    <s v="Living together"/>
    <x v="3"/>
    <x v="2"/>
    <s v="services"/>
    <s v="services"/>
    <x v="2"/>
    <n v="0"/>
    <s v="yes"/>
    <s v="yes"/>
    <s v="yes"/>
    <s v="yes"/>
    <s v="yes"/>
    <s v="no"/>
    <n v="14"/>
    <n v="7"/>
    <n v="7"/>
    <x v="2"/>
  </r>
  <r>
    <n v="19"/>
    <s v="GP"/>
    <x v="1"/>
    <x v="1"/>
    <s v="Urban"/>
    <s v="Greater than 3"/>
    <s v="Living together"/>
    <x v="2"/>
    <x v="1"/>
    <s v="services"/>
    <s v="services"/>
    <x v="2"/>
    <n v="3"/>
    <s v="no"/>
    <s v="no"/>
    <s v="yes"/>
    <s v="yes"/>
    <s v="yes"/>
    <s v="no"/>
    <n v="16"/>
    <n v="6"/>
    <n v="5"/>
    <x v="2"/>
  </r>
  <r>
    <n v="36"/>
    <s v="GP"/>
    <x v="0"/>
    <x v="2"/>
    <s v="Urban"/>
    <s v="Greater than 3"/>
    <s v="Living together"/>
    <x v="1"/>
    <x v="3"/>
    <s v="other"/>
    <s v="other"/>
    <x v="2"/>
    <n v="0"/>
    <s v="no"/>
    <s v="no"/>
    <s v="yes"/>
    <s v="yes"/>
    <s v="no"/>
    <s v="no"/>
    <n v="0"/>
    <n v="8"/>
    <n v="7"/>
    <x v="3"/>
  </r>
  <r>
    <n v="204"/>
    <s v="GP"/>
    <x v="0"/>
    <x v="1"/>
    <s v="Rural"/>
    <s v="Greater than 3"/>
    <s v="Living together"/>
    <x v="1"/>
    <x v="1"/>
    <s v="other"/>
    <s v="other"/>
    <x v="2"/>
    <n v="0"/>
    <s v="no"/>
    <s v="no"/>
    <s v="no"/>
    <s v="yes"/>
    <s v="yes"/>
    <s v="no"/>
    <n v="18"/>
    <n v="7"/>
    <n v="6"/>
    <x v="3"/>
  </r>
  <r>
    <n v="46"/>
    <s v="GP"/>
    <x v="0"/>
    <x v="2"/>
    <s v="Urban"/>
    <s v="Less than or equal to 3"/>
    <s v="Apart"/>
    <x v="3"/>
    <x v="3"/>
    <s v="other"/>
    <s v="other"/>
    <x v="0"/>
    <n v="0"/>
    <s v="yes"/>
    <s v="yes"/>
    <s v="yes"/>
    <s v="yes"/>
    <s v="yes"/>
    <s v="yes"/>
    <n v="8"/>
    <n v="8"/>
    <n v="8"/>
    <x v="3"/>
  </r>
  <r>
    <n v="93"/>
    <s v="GP"/>
    <x v="0"/>
    <x v="3"/>
    <s v="Urban"/>
    <s v="Less than or equal to 3"/>
    <s v="Living together"/>
    <x v="2"/>
    <x v="0"/>
    <s v="other"/>
    <s v="other"/>
    <x v="0"/>
    <n v="0"/>
    <s v="yes"/>
    <s v="no"/>
    <s v="no"/>
    <s v="yes"/>
    <s v="no"/>
    <s v="no"/>
    <n v="4"/>
    <n v="7"/>
    <n v="6"/>
    <x v="3"/>
  </r>
  <r>
    <n v="387"/>
    <s v="MS"/>
    <x v="0"/>
    <x v="0"/>
    <s v="Rural"/>
    <s v="Greater than 3"/>
    <s v="Living together"/>
    <x v="3"/>
    <x v="2"/>
    <s v="teacher"/>
    <s v="at_home"/>
    <x v="2"/>
    <n v="0"/>
    <s v="no"/>
    <s v="yes"/>
    <s v="yes"/>
    <s v="yes"/>
    <s v="yes"/>
    <s v="yes"/>
    <n v="7"/>
    <n v="6"/>
    <n v="5"/>
    <x v="3"/>
  </r>
  <r>
    <n v="68"/>
    <s v="GP"/>
    <x v="0"/>
    <x v="3"/>
    <s v="Urban"/>
    <s v="Greater than 3"/>
    <s v="Living together"/>
    <x v="2"/>
    <x v="0"/>
    <s v="services"/>
    <s v="other"/>
    <x v="1"/>
    <n v="0"/>
    <s v="yes"/>
    <s v="yes"/>
    <s v="no"/>
    <s v="yes"/>
    <s v="yes"/>
    <s v="no"/>
    <n v="4"/>
    <n v="7"/>
    <n v="7"/>
    <x v="3"/>
  </r>
  <r>
    <n v="2"/>
    <s v="GP"/>
    <x v="0"/>
    <x v="1"/>
    <s v="Urban"/>
    <s v="Greater than 3"/>
    <s v="Living together"/>
    <x v="0"/>
    <x v="0"/>
    <s v="at_home"/>
    <s v="other"/>
    <x v="0"/>
    <n v="0"/>
    <s v="no"/>
    <s v="no"/>
    <s v="no"/>
    <s v="no"/>
    <s v="yes"/>
    <s v="no"/>
    <n v="4"/>
    <n v="5"/>
    <n v="5"/>
    <x v="3"/>
  </r>
  <r>
    <n v="87"/>
    <s v="GP"/>
    <x v="0"/>
    <x v="3"/>
    <s v="Urban"/>
    <s v="Less than or equal to 3"/>
    <s v="Living together"/>
    <x v="1"/>
    <x v="1"/>
    <s v="at_home"/>
    <s v="other"/>
    <x v="0"/>
    <n v="0"/>
    <s v="no"/>
    <s v="no"/>
    <s v="no"/>
    <s v="yes"/>
    <s v="no"/>
    <s v="no"/>
    <n v="4"/>
    <n v="8"/>
    <n v="7"/>
    <x v="3"/>
  </r>
  <r>
    <n v="1"/>
    <s v="GP"/>
    <x v="0"/>
    <x v="0"/>
    <s v="Urban"/>
    <s v="Greater than 3"/>
    <s v="Apart"/>
    <x v="3"/>
    <x v="2"/>
    <s v="at_home"/>
    <s v="teacher"/>
    <x v="0"/>
    <n v="0"/>
    <s v="yes"/>
    <s v="no"/>
    <s v="no"/>
    <s v="yes"/>
    <s v="no"/>
    <s v="no"/>
    <n v="6"/>
    <n v="5"/>
    <n v="6"/>
    <x v="3"/>
  </r>
  <r>
    <n v="8"/>
    <s v="GP"/>
    <x v="0"/>
    <x v="1"/>
    <s v="Urban"/>
    <s v="Greater than 3"/>
    <s v="Apart"/>
    <x v="3"/>
    <x v="2"/>
    <s v="other"/>
    <s v="teacher"/>
    <x v="0"/>
    <n v="0"/>
    <s v="yes"/>
    <s v="no"/>
    <s v="no"/>
    <s v="yes"/>
    <s v="no"/>
    <s v="no"/>
    <n v="6"/>
    <n v="6"/>
    <n v="5"/>
    <x v="3"/>
  </r>
  <r>
    <n v="83"/>
    <s v="GP"/>
    <x v="0"/>
    <x v="2"/>
    <s v="Urban"/>
    <s v="Less than or equal to 3"/>
    <s v="Living together"/>
    <x v="2"/>
    <x v="1"/>
    <s v="services"/>
    <s v="other"/>
    <x v="0"/>
    <n v="0"/>
    <s v="no"/>
    <s v="yes"/>
    <s v="no"/>
    <s v="yes"/>
    <s v="yes"/>
    <s v="no"/>
    <n v="10"/>
    <n v="7"/>
    <n v="6"/>
    <x v="3"/>
  </r>
  <r>
    <n v="221"/>
    <s v="GP"/>
    <x v="0"/>
    <x v="1"/>
    <s v="Rural"/>
    <s v="Greater than 3"/>
    <s v="Living together"/>
    <x v="1"/>
    <x v="0"/>
    <s v="at_home"/>
    <s v="services"/>
    <x v="0"/>
    <n v="0"/>
    <s v="no"/>
    <s v="no"/>
    <s v="yes"/>
    <s v="yes"/>
    <s v="yes"/>
    <s v="no"/>
    <n v="2"/>
    <n v="6"/>
    <n v="6"/>
    <x v="3"/>
  </r>
  <r>
    <n v="104"/>
    <s v="GP"/>
    <x v="0"/>
    <x v="2"/>
    <s v="Urban"/>
    <s v="Greater than 3"/>
    <s v="Living together"/>
    <x v="2"/>
    <x v="1"/>
    <s v="services"/>
    <s v="other"/>
    <x v="0"/>
    <n v="0"/>
    <s v="yes"/>
    <s v="yes"/>
    <s v="no"/>
    <s v="yes"/>
    <s v="yes"/>
    <s v="no"/>
    <n v="26"/>
    <n v="7"/>
    <n v="6"/>
    <x v="3"/>
  </r>
  <r>
    <n v="235"/>
    <s v="GP"/>
    <x v="1"/>
    <x v="3"/>
    <s v="Urban"/>
    <s v="Less than or equal to 3"/>
    <s v="Living together"/>
    <x v="0"/>
    <x v="0"/>
    <s v="other"/>
    <s v="other"/>
    <x v="0"/>
    <n v="0"/>
    <s v="no"/>
    <s v="yes"/>
    <s v="no"/>
    <s v="yes"/>
    <s v="yes"/>
    <s v="no"/>
    <n v="18"/>
    <n v="9"/>
    <n v="7"/>
    <x v="3"/>
  </r>
  <r>
    <n v="178"/>
    <s v="GP"/>
    <x v="1"/>
    <x v="1"/>
    <s v="Urban"/>
    <s v="Greater than 3"/>
    <s v="Living together"/>
    <x v="2"/>
    <x v="3"/>
    <s v="other"/>
    <s v="other"/>
    <x v="0"/>
    <n v="0"/>
    <s v="no"/>
    <s v="no"/>
    <s v="yes"/>
    <s v="no"/>
    <s v="yes"/>
    <s v="no"/>
    <n v="4"/>
    <n v="6"/>
    <n v="5"/>
    <x v="3"/>
  </r>
  <r>
    <n v="210"/>
    <s v="GP"/>
    <x v="0"/>
    <x v="1"/>
    <s v="Rural"/>
    <s v="Greater than 3"/>
    <s v="Living together"/>
    <x v="3"/>
    <x v="3"/>
    <s v="teacher"/>
    <s v="other"/>
    <x v="3"/>
    <n v="0"/>
    <s v="no"/>
    <s v="yes"/>
    <s v="yes"/>
    <s v="yes"/>
    <s v="yes"/>
    <s v="yes"/>
    <n v="6"/>
    <n v="7"/>
    <n v="7"/>
    <x v="4"/>
  </r>
  <r>
    <n v="207"/>
    <s v="GP"/>
    <x v="0"/>
    <x v="3"/>
    <s v="Urban"/>
    <s v="Greater than 3"/>
    <s v="Apart"/>
    <x v="2"/>
    <x v="0"/>
    <s v="services"/>
    <s v="other"/>
    <x v="0"/>
    <n v="3"/>
    <s v="no"/>
    <s v="yes"/>
    <s v="no"/>
    <s v="yes"/>
    <s v="yes"/>
    <s v="no"/>
    <n v="5"/>
    <n v="7"/>
    <n v="7"/>
    <x v="4"/>
  </r>
  <r>
    <n v="226"/>
    <s v="GP"/>
    <x v="0"/>
    <x v="0"/>
    <s v="Rural"/>
    <s v="Greater than 3"/>
    <s v="Living together"/>
    <x v="2"/>
    <x v="0"/>
    <s v="other"/>
    <s v="other"/>
    <x v="0"/>
    <n v="1"/>
    <s v="no"/>
    <s v="no"/>
    <s v="yes"/>
    <s v="yes"/>
    <s v="yes"/>
    <s v="yes"/>
    <n v="16"/>
    <n v="9"/>
    <n v="8"/>
    <x v="4"/>
  </r>
  <r>
    <n v="50"/>
    <s v="GP"/>
    <x v="0"/>
    <x v="2"/>
    <s v="Urban"/>
    <s v="Greater than 3"/>
    <s v="Living together"/>
    <x v="3"/>
    <x v="2"/>
    <s v="services"/>
    <s v="teacher"/>
    <x v="0"/>
    <n v="1"/>
    <s v="yes"/>
    <s v="no"/>
    <s v="yes"/>
    <s v="no"/>
    <s v="yes"/>
    <s v="no"/>
    <n v="2"/>
    <n v="7"/>
    <n v="7"/>
    <x v="4"/>
  </r>
  <r>
    <n v="382"/>
    <s v="MS"/>
    <x v="1"/>
    <x v="0"/>
    <s v="Rural"/>
    <s v="Greater than 3"/>
    <s v="Living together"/>
    <x v="1"/>
    <x v="0"/>
    <s v="other"/>
    <s v="other"/>
    <x v="2"/>
    <n v="0"/>
    <s v="no"/>
    <s v="no"/>
    <s v="yes"/>
    <s v="no"/>
    <s v="yes"/>
    <s v="yes"/>
    <n v="5"/>
    <n v="7"/>
    <n v="6"/>
    <x v="4"/>
  </r>
  <r>
    <n v="90"/>
    <s v="GP"/>
    <x v="1"/>
    <x v="3"/>
    <s v="Urban"/>
    <s v="Less than or equal to 3"/>
    <s v="Apart"/>
    <x v="3"/>
    <x v="2"/>
    <s v="teacher"/>
    <s v="health"/>
    <x v="0"/>
    <n v="0"/>
    <s v="no"/>
    <s v="no"/>
    <s v="no"/>
    <s v="yes"/>
    <s v="no"/>
    <s v="no"/>
    <n v="18"/>
    <n v="8"/>
    <n v="6"/>
    <x v="4"/>
  </r>
  <r>
    <n v="393"/>
    <s v="MS"/>
    <x v="1"/>
    <x v="5"/>
    <s v="Rural"/>
    <s v="Greater than 3"/>
    <s v="Living together"/>
    <x v="0"/>
    <x v="0"/>
    <s v="other"/>
    <s v="other"/>
    <x v="2"/>
    <n v="3"/>
    <s v="no"/>
    <s v="no"/>
    <s v="no"/>
    <s v="no"/>
    <s v="no"/>
    <s v="no"/>
    <n v="3"/>
    <n v="10"/>
    <n v="8"/>
    <x v="4"/>
  </r>
  <r>
    <n v="162"/>
    <s v="GP"/>
    <x v="1"/>
    <x v="2"/>
    <s v="Rural"/>
    <s v="Greater than 3"/>
    <s v="Living together"/>
    <x v="2"/>
    <x v="1"/>
    <s v="other"/>
    <s v="other"/>
    <x v="0"/>
    <n v="2"/>
    <s v="yes"/>
    <s v="no"/>
    <s v="no"/>
    <s v="yes"/>
    <s v="yes"/>
    <s v="yes"/>
    <n v="6"/>
    <n v="5"/>
    <n v="9"/>
    <x v="4"/>
  </r>
  <r>
    <n v="165"/>
    <s v="GP"/>
    <x v="1"/>
    <x v="1"/>
    <s v="Rural"/>
    <s v="Less than or equal to 3"/>
    <s v="Living together"/>
    <x v="0"/>
    <x v="0"/>
    <s v="other"/>
    <s v="services"/>
    <x v="0"/>
    <n v="3"/>
    <s v="no"/>
    <s v="no"/>
    <s v="yes"/>
    <s v="yes"/>
    <s v="no"/>
    <s v="yes"/>
    <n v="0"/>
    <n v="5"/>
    <n v="8"/>
    <x v="4"/>
  </r>
  <r>
    <n v="26"/>
    <s v="GP"/>
    <x v="0"/>
    <x v="3"/>
    <s v="Urban"/>
    <s v="Greater than 3"/>
    <s v="Living together"/>
    <x v="1"/>
    <x v="1"/>
    <s v="services"/>
    <s v="services"/>
    <x v="2"/>
    <n v="2"/>
    <s v="no"/>
    <s v="yes"/>
    <s v="no"/>
    <s v="no"/>
    <s v="yes"/>
    <s v="no"/>
    <n v="14"/>
    <n v="6"/>
    <n v="9"/>
    <x v="5"/>
  </r>
  <r>
    <n v="25"/>
    <s v="GP"/>
    <x v="0"/>
    <x v="2"/>
    <s v="Rural"/>
    <s v="Greater than 3"/>
    <s v="Living together"/>
    <x v="1"/>
    <x v="2"/>
    <s v="services"/>
    <s v="health"/>
    <x v="3"/>
    <n v="0"/>
    <s v="yes"/>
    <s v="yes"/>
    <s v="yes"/>
    <s v="yes"/>
    <s v="yes"/>
    <s v="no"/>
    <n v="2"/>
    <n v="10"/>
    <n v="9"/>
    <x v="5"/>
  </r>
  <r>
    <n v="107"/>
    <s v="GP"/>
    <x v="0"/>
    <x v="2"/>
    <s v="Urban"/>
    <s v="Greater than 3"/>
    <s v="Living together"/>
    <x v="1"/>
    <x v="1"/>
    <s v="other"/>
    <s v="other"/>
    <x v="1"/>
    <n v="0"/>
    <s v="yes"/>
    <s v="yes"/>
    <s v="no"/>
    <s v="yes"/>
    <s v="yes"/>
    <s v="no"/>
    <n v="8"/>
    <n v="7"/>
    <n v="8"/>
    <x v="5"/>
  </r>
  <r>
    <n v="219"/>
    <s v="GP"/>
    <x v="0"/>
    <x v="1"/>
    <s v="Urban"/>
    <s v="Greater than 3"/>
    <s v="Living together"/>
    <x v="1"/>
    <x v="3"/>
    <s v="at_home"/>
    <s v="other"/>
    <x v="2"/>
    <n v="0"/>
    <s v="no"/>
    <s v="yes"/>
    <s v="no"/>
    <s v="yes"/>
    <s v="no"/>
    <s v="no"/>
    <n v="3"/>
    <n v="7"/>
    <n v="7"/>
    <x v="5"/>
  </r>
  <r>
    <n v="69"/>
    <s v="GP"/>
    <x v="0"/>
    <x v="2"/>
    <s v="Rural"/>
    <s v="Less than or equal to 3"/>
    <s v="Living together"/>
    <x v="1"/>
    <x v="1"/>
    <s v="health"/>
    <s v="services"/>
    <x v="0"/>
    <n v="0"/>
    <s v="yes"/>
    <s v="yes"/>
    <s v="no"/>
    <s v="yes"/>
    <s v="yes"/>
    <s v="no"/>
    <n v="2"/>
    <n v="8"/>
    <n v="9"/>
    <x v="5"/>
  </r>
  <r>
    <n v="91"/>
    <s v="GP"/>
    <x v="0"/>
    <x v="3"/>
    <s v="Urban"/>
    <s v="Greater than 3"/>
    <s v="Living together"/>
    <x v="2"/>
    <x v="3"/>
    <s v="other"/>
    <s v="other"/>
    <x v="3"/>
    <n v="0"/>
    <s v="no"/>
    <s v="yes"/>
    <s v="no"/>
    <s v="yes"/>
    <s v="yes"/>
    <s v="yes"/>
    <n v="0"/>
    <n v="7"/>
    <n v="7"/>
    <x v="5"/>
  </r>
  <r>
    <n v="211"/>
    <s v="GP"/>
    <x v="0"/>
    <x v="4"/>
    <s v="Urban"/>
    <s v="Greater than 3"/>
    <s v="Living together"/>
    <x v="2"/>
    <x v="3"/>
    <s v="other"/>
    <s v="other"/>
    <x v="1"/>
    <n v="0"/>
    <s v="no"/>
    <s v="yes"/>
    <s v="yes"/>
    <s v="yes"/>
    <s v="yes"/>
    <s v="no"/>
    <n v="10"/>
    <n v="8"/>
    <n v="8"/>
    <x v="5"/>
  </r>
  <r>
    <n v="184"/>
    <s v="GP"/>
    <x v="0"/>
    <x v="1"/>
    <s v="Urban"/>
    <s v="Less than or equal to 3"/>
    <s v="Living together"/>
    <x v="2"/>
    <x v="3"/>
    <s v="other"/>
    <s v="other"/>
    <x v="0"/>
    <n v="0"/>
    <s v="no"/>
    <s v="no"/>
    <s v="yes"/>
    <s v="yes"/>
    <s v="yes"/>
    <s v="yes"/>
    <n v="56"/>
    <n v="9"/>
    <n v="9"/>
    <x v="5"/>
  </r>
  <r>
    <n v="279"/>
    <s v="GP"/>
    <x v="0"/>
    <x v="0"/>
    <s v="Urban"/>
    <s v="Greater than 3"/>
    <s v="Living together"/>
    <x v="3"/>
    <x v="2"/>
    <s v="health"/>
    <s v="health"/>
    <x v="0"/>
    <n v="1"/>
    <s v="yes"/>
    <s v="no"/>
    <s v="yes"/>
    <s v="yes"/>
    <s v="yes"/>
    <s v="yes"/>
    <n v="15"/>
    <n v="9"/>
    <n v="8"/>
    <x v="5"/>
  </r>
  <r>
    <n v="86"/>
    <s v="GP"/>
    <x v="0"/>
    <x v="2"/>
    <s v="Urban"/>
    <s v="Greater than 3"/>
    <s v="Living together"/>
    <x v="3"/>
    <x v="2"/>
    <s v="services"/>
    <s v="services"/>
    <x v="0"/>
    <n v="2"/>
    <s v="no"/>
    <s v="yes"/>
    <s v="no"/>
    <s v="yes"/>
    <s v="yes"/>
    <s v="yes"/>
    <n v="6"/>
    <n v="7"/>
    <n v="9"/>
    <x v="5"/>
  </r>
  <r>
    <n v="389"/>
    <s v="MS"/>
    <x v="0"/>
    <x v="0"/>
    <s v="Urban"/>
    <s v="Less than or equal to 3"/>
    <s v="Living together"/>
    <x v="2"/>
    <x v="0"/>
    <s v="teacher"/>
    <s v="services"/>
    <x v="0"/>
    <n v="0"/>
    <s v="no"/>
    <s v="yes"/>
    <s v="no"/>
    <s v="yes"/>
    <s v="yes"/>
    <s v="no"/>
    <n v="0"/>
    <n v="7"/>
    <n v="9"/>
    <x v="5"/>
  </r>
  <r>
    <n v="125"/>
    <s v="GP"/>
    <x v="0"/>
    <x v="3"/>
    <s v="Urban"/>
    <s v="Greater than 3"/>
    <s v="Living together"/>
    <x v="1"/>
    <x v="1"/>
    <s v="other"/>
    <s v="other"/>
    <x v="0"/>
    <n v="0"/>
    <s v="no"/>
    <s v="yes"/>
    <s v="no"/>
    <s v="yes"/>
    <s v="yes"/>
    <s v="yes"/>
    <n v="0"/>
    <n v="8"/>
    <n v="7"/>
    <x v="5"/>
  </r>
  <r>
    <n v="298"/>
    <s v="GP"/>
    <x v="0"/>
    <x v="0"/>
    <s v="Urban"/>
    <s v="Less than or equal to 3"/>
    <s v="Living together"/>
    <x v="3"/>
    <x v="3"/>
    <s v="other"/>
    <s v="other"/>
    <x v="0"/>
    <n v="0"/>
    <s v="no"/>
    <s v="yes"/>
    <s v="no"/>
    <s v="yes"/>
    <s v="yes"/>
    <s v="yes"/>
    <n v="10"/>
    <n v="10"/>
    <n v="8"/>
    <x v="5"/>
  </r>
  <r>
    <n v="100"/>
    <s v="GP"/>
    <x v="0"/>
    <x v="3"/>
    <s v="Urban"/>
    <s v="Greater than 3"/>
    <s v="Living together"/>
    <x v="3"/>
    <x v="3"/>
    <s v="other"/>
    <s v="at_home"/>
    <x v="3"/>
    <n v="0"/>
    <s v="yes"/>
    <s v="yes"/>
    <s v="no"/>
    <s v="yes"/>
    <s v="yes"/>
    <s v="no"/>
    <n v="0"/>
    <n v="7"/>
    <n v="9"/>
    <x v="5"/>
  </r>
  <r>
    <n v="254"/>
    <s v="GP"/>
    <x v="1"/>
    <x v="3"/>
    <s v="Rural"/>
    <s v="Greater than 3"/>
    <s v="Living together"/>
    <x v="1"/>
    <x v="0"/>
    <s v="other"/>
    <s v="other"/>
    <x v="2"/>
    <n v="0"/>
    <s v="no"/>
    <s v="no"/>
    <s v="yes"/>
    <s v="no"/>
    <s v="no"/>
    <s v="no"/>
    <n v="0"/>
    <n v="8"/>
    <n v="9"/>
    <x v="5"/>
  </r>
  <r>
    <n v="262"/>
    <s v="GP"/>
    <x v="1"/>
    <x v="0"/>
    <s v="Urban"/>
    <s v="Greater than 3"/>
    <s v="Living together"/>
    <x v="3"/>
    <x v="3"/>
    <s v="teacher"/>
    <s v="other"/>
    <x v="0"/>
    <n v="0"/>
    <s v="no"/>
    <s v="yes"/>
    <s v="no"/>
    <s v="no"/>
    <s v="yes"/>
    <s v="no"/>
    <n v="2"/>
    <n v="8"/>
    <n v="8"/>
    <x v="5"/>
  </r>
  <r>
    <n v="181"/>
    <s v="GP"/>
    <x v="1"/>
    <x v="3"/>
    <s v="Urban"/>
    <s v="Greater than 3"/>
    <s v="Living together"/>
    <x v="3"/>
    <x v="3"/>
    <s v="teacher"/>
    <s v="other"/>
    <x v="0"/>
    <n v="0"/>
    <s v="no"/>
    <s v="yes"/>
    <s v="yes"/>
    <s v="yes"/>
    <s v="yes"/>
    <s v="no"/>
    <n v="10"/>
    <n v="9"/>
    <n v="8"/>
    <x v="5"/>
  </r>
  <r>
    <n v="353"/>
    <s v="MS"/>
    <x v="1"/>
    <x v="0"/>
    <s v="Urban"/>
    <s v="Less than or equal to 3"/>
    <s v="Living together"/>
    <x v="0"/>
    <x v="3"/>
    <s v="at_home"/>
    <s v="services"/>
    <x v="2"/>
    <n v="1"/>
    <s v="no"/>
    <s v="no"/>
    <s v="no"/>
    <s v="yes"/>
    <s v="yes"/>
    <s v="yes"/>
    <n v="7"/>
    <n v="8"/>
    <n v="7"/>
    <x v="5"/>
  </r>
  <r>
    <n v="218"/>
    <s v="GP"/>
    <x v="1"/>
    <x v="0"/>
    <s v="Urban"/>
    <s v="Less than or equal to 3"/>
    <s v="Living together"/>
    <x v="2"/>
    <x v="3"/>
    <s v="services"/>
    <s v="health"/>
    <x v="0"/>
    <n v="1"/>
    <s v="no"/>
    <s v="yes"/>
    <s v="no"/>
    <s v="yes"/>
    <s v="yes"/>
    <s v="no"/>
    <n v="13"/>
    <n v="6"/>
    <n v="6"/>
    <x v="5"/>
  </r>
  <r>
    <n v="156"/>
    <s v="GP"/>
    <x v="1"/>
    <x v="2"/>
    <s v="Rural"/>
    <s v="Greater than 3"/>
    <s v="Living together"/>
    <x v="1"/>
    <x v="3"/>
    <s v="at_home"/>
    <s v="services"/>
    <x v="0"/>
    <n v="0"/>
    <s v="yes"/>
    <s v="yes"/>
    <s v="yes"/>
    <s v="yes"/>
    <s v="no"/>
    <s v="no"/>
    <n v="2"/>
    <n v="11"/>
    <n v="8"/>
    <x v="5"/>
  </r>
  <r>
    <n v="214"/>
    <s v="GP"/>
    <x v="1"/>
    <x v="0"/>
    <s v="Urban"/>
    <s v="Greater than 3"/>
    <s v="Living together"/>
    <x v="1"/>
    <x v="1"/>
    <s v="services"/>
    <s v="other"/>
    <x v="0"/>
    <n v="1"/>
    <s v="no"/>
    <s v="yes"/>
    <s v="yes"/>
    <s v="yes"/>
    <s v="yes"/>
    <s v="no"/>
    <n v="15"/>
    <n v="6"/>
    <n v="7"/>
    <x v="5"/>
  </r>
  <r>
    <n v="281"/>
    <s v="GP"/>
    <x v="1"/>
    <x v="1"/>
    <s v="Urban"/>
    <s v="Less than or equal to 3"/>
    <s v="Apart"/>
    <x v="3"/>
    <x v="0"/>
    <s v="services"/>
    <s v="other"/>
    <x v="2"/>
    <n v="0"/>
    <s v="no"/>
    <s v="yes"/>
    <s v="yes"/>
    <s v="yes"/>
    <s v="yes"/>
    <s v="yes"/>
    <n v="30"/>
    <n v="8"/>
    <n v="8"/>
    <x v="5"/>
  </r>
  <r>
    <n v="308"/>
    <s v="GP"/>
    <x v="1"/>
    <x v="4"/>
    <s v="Urban"/>
    <s v="Greater than 3"/>
    <s v="Living together"/>
    <x v="3"/>
    <x v="2"/>
    <s v="teacher"/>
    <s v="services"/>
    <x v="2"/>
    <n v="1"/>
    <s v="no"/>
    <s v="yes"/>
    <s v="no"/>
    <s v="yes"/>
    <s v="yes"/>
    <s v="yes"/>
    <n v="38"/>
    <n v="8"/>
    <n v="9"/>
    <x v="5"/>
  </r>
  <r>
    <n v="193"/>
    <s v="GP"/>
    <x v="1"/>
    <x v="1"/>
    <s v="Urban"/>
    <s v="Greater than 3"/>
    <s v="Living together"/>
    <x v="0"/>
    <x v="1"/>
    <s v="at_home"/>
    <s v="services"/>
    <x v="0"/>
    <n v="0"/>
    <s v="no"/>
    <s v="yes"/>
    <s v="yes"/>
    <s v="no"/>
    <s v="yes"/>
    <s v="no"/>
    <n v="12"/>
    <n v="7"/>
    <n v="8"/>
    <x v="5"/>
  </r>
  <r>
    <n v="256"/>
    <s v="GP"/>
    <x v="1"/>
    <x v="1"/>
    <s v="Urban"/>
    <s v="Less than or equal to 3"/>
    <s v="Living together"/>
    <x v="0"/>
    <x v="0"/>
    <s v="health"/>
    <s v="other"/>
    <x v="2"/>
    <n v="1"/>
    <s v="no"/>
    <s v="no"/>
    <s v="yes"/>
    <s v="yes"/>
    <s v="yes"/>
    <s v="no"/>
    <n v="2"/>
    <n v="7"/>
    <n v="9"/>
    <x v="5"/>
  </r>
  <r>
    <n v="354"/>
    <s v="MS"/>
    <x v="1"/>
    <x v="4"/>
    <s v="Rural"/>
    <s v="Greater than 3"/>
    <s v="Living together"/>
    <x v="0"/>
    <x v="0"/>
    <s v="other"/>
    <s v="other"/>
    <x v="2"/>
    <n v="1"/>
    <s v="no"/>
    <s v="no"/>
    <s v="no"/>
    <s v="yes"/>
    <s v="yes"/>
    <s v="no"/>
    <n v="4"/>
    <n v="8"/>
    <n v="8"/>
    <x v="5"/>
  </r>
  <r>
    <n v="119"/>
    <s v="GP"/>
    <x v="1"/>
    <x v="1"/>
    <s v="Rural"/>
    <s v="Greater than 3"/>
    <s v="Living together"/>
    <x v="0"/>
    <x v="3"/>
    <s v="other"/>
    <s v="other"/>
    <x v="0"/>
    <n v="1"/>
    <s v="no"/>
    <s v="no"/>
    <s v="yes"/>
    <s v="yes"/>
    <s v="yes"/>
    <s v="no"/>
    <n v="20"/>
    <n v="9"/>
    <n v="7"/>
    <x v="5"/>
  </r>
  <r>
    <n v="351"/>
    <s v="MS"/>
    <x v="1"/>
    <x v="4"/>
    <s v="Rural"/>
    <s v="Greater than 3"/>
    <s v="Living together"/>
    <x v="0"/>
    <x v="0"/>
    <s v="other"/>
    <s v="services"/>
    <x v="0"/>
    <n v="3"/>
    <s v="no"/>
    <s v="no"/>
    <s v="no"/>
    <s v="yes"/>
    <s v="yes"/>
    <s v="no"/>
    <n v="8"/>
    <n v="8"/>
    <n v="7"/>
    <x v="5"/>
  </r>
  <r>
    <n v="253"/>
    <s v="GP"/>
    <x v="1"/>
    <x v="0"/>
    <s v="Urban"/>
    <s v="Greater than 3"/>
    <s v="Living together"/>
    <x v="1"/>
    <x v="0"/>
    <s v="services"/>
    <s v="services"/>
    <x v="2"/>
    <n v="1"/>
    <s v="no"/>
    <s v="no"/>
    <s v="no"/>
    <s v="no"/>
    <s v="yes"/>
    <s v="no"/>
    <n v="4"/>
    <n v="6"/>
    <n v="9"/>
    <x v="5"/>
  </r>
  <r>
    <n v="331"/>
    <s v="GP"/>
    <x v="1"/>
    <x v="0"/>
    <s v="Urban"/>
    <s v="Less than or equal to 3"/>
    <s v="Living together"/>
    <x v="1"/>
    <x v="1"/>
    <s v="other"/>
    <s v="other"/>
    <x v="1"/>
    <n v="0"/>
    <s v="no"/>
    <s v="no"/>
    <s v="yes"/>
    <s v="yes"/>
    <s v="yes"/>
    <s v="no"/>
    <n v="2"/>
    <n v="9"/>
    <n v="8"/>
    <x v="5"/>
  </r>
  <r>
    <n v="251"/>
    <s v="GP"/>
    <x v="1"/>
    <x v="0"/>
    <s v="Urban"/>
    <s v="Greater than 3"/>
    <s v="Living together"/>
    <x v="2"/>
    <x v="1"/>
    <s v="services"/>
    <s v="other"/>
    <x v="2"/>
    <n v="1"/>
    <s v="no"/>
    <s v="no"/>
    <s v="no"/>
    <s v="yes"/>
    <s v="yes"/>
    <s v="no"/>
    <n v="0"/>
    <n v="6"/>
    <n v="8"/>
    <x v="5"/>
  </r>
  <r>
    <n v="248"/>
    <s v="GP"/>
    <x v="1"/>
    <x v="6"/>
    <s v="Urban"/>
    <s v="Greater than 3"/>
    <s v="Living together"/>
    <x v="2"/>
    <x v="0"/>
    <s v="services"/>
    <s v="services"/>
    <x v="2"/>
    <n v="3"/>
    <s v="no"/>
    <s v="no"/>
    <s v="no"/>
    <s v="no"/>
    <s v="yes"/>
    <s v="yes"/>
    <n v="16"/>
    <n v="6"/>
    <n v="8"/>
    <x v="5"/>
  </r>
  <r>
    <n v="277"/>
    <s v="GP"/>
    <x v="0"/>
    <x v="0"/>
    <s v="Rural"/>
    <s v="Greater than 3"/>
    <s v="Apart"/>
    <x v="2"/>
    <x v="1"/>
    <s v="other"/>
    <s v="services"/>
    <x v="0"/>
    <n v="0"/>
    <s v="no"/>
    <s v="no"/>
    <s v="no"/>
    <s v="no"/>
    <s v="yes"/>
    <s v="yes"/>
    <n v="75"/>
    <n v="10"/>
    <n v="9"/>
    <x v="6"/>
  </r>
  <r>
    <n v="128"/>
    <s v="GP"/>
    <x v="0"/>
    <x v="4"/>
    <s v="Urban"/>
    <s v="Greater than 3"/>
    <s v="Living together"/>
    <x v="4"/>
    <x v="0"/>
    <s v="at_home"/>
    <s v="other"/>
    <x v="0"/>
    <n v="3"/>
    <s v="no"/>
    <s v="no"/>
    <s v="no"/>
    <s v="no"/>
    <s v="no"/>
    <s v="no"/>
    <n v="2"/>
    <n v="7"/>
    <n v="8"/>
    <x v="6"/>
  </r>
  <r>
    <n v="371"/>
    <s v="MS"/>
    <x v="0"/>
    <x v="4"/>
    <s v="Urban"/>
    <s v="Less than or equal to 3"/>
    <s v="Living together"/>
    <x v="2"/>
    <x v="1"/>
    <s v="services"/>
    <s v="services"/>
    <x v="0"/>
    <n v="2"/>
    <s v="no"/>
    <s v="no"/>
    <s v="yes"/>
    <s v="yes"/>
    <s v="no"/>
    <s v="yes"/>
    <n v="4"/>
    <n v="7"/>
    <n v="7"/>
    <x v="6"/>
  </r>
  <r>
    <n v="322"/>
    <s v="GP"/>
    <x v="0"/>
    <x v="1"/>
    <s v="Urban"/>
    <s v="Greater than 3"/>
    <s v="Living together"/>
    <x v="1"/>
    <x v="1"/>
    <s v="other"/>
    <s v="other"/>
    <x v="0"/>
    <n v="0"/>
    <s v="no"/>
    <s v="no"/>
    <s v="no"/>
    <s v="yes"/>
    <s v="no"/>
    <s v="yes"/>
    <n v="12"/>
    <n v="11"/>
    <n v="9"/>
    <x v="6"/>
  </r>
  <r>
    <n v="11"/>
    <s v="GP"/>
    <x v="0"/>
    <x v="2"/>
    <s v="Urban"/>
    <s v="Greater than 3"/>
    <s v="Living together"/>
    <x v="3"/>
    <x v="2"/>
    <s v="teacher"/>
    <s v="health"/>
    <x v="0"/>
    <n v="0"/>
    <s v="no"/>
    <s v="yes"/>
    <s v="no"/>
    <s v="yes"/>
    <s v="yes"/>
    <s v="no"/>
    <n v="0"/>
    <n v="10"/>
    <n v="8"/>
    <x v="6"/>
  </r>
  <r>
    <n v="189"/>
    <s v="GP"/>
    <x v="0"/>
    <x v="1"/>
    <s v="Urban"/>
    <s v="Greater than 3"/>
    <s v="Apart"/>
    <x v="2"/>
    <x v="3"/>
    <s v="health"/>
    <s v="other"/>
    <x v="0"/>
    <n v="0"/>
    <s v="no"/>
    <s v="no"/>
    <s v="no"/>
    <s v="no"/>
    <s v="yes"/>
    <s v="yes"/>
    <n v="6"/>
    <n v="8"/>
    <n v="7"/>
    <x v="6"/>
  </r>
  <r>
    <n v="264"/>
    <s v="GP"/>
    <x v="0"/>
    <x v="1"/>
    <s v="Urban"/>
    <s v="Greater than 3"/>
    <s v="Living together"/>
    <x v="2"/>
    <x v="3"/>
    <s v="other"/>
    <s v="other"/>
    <x v="3"/>
    <n v="0"/>
    <s v="no"/>
    <s v="no"/>
    <s v="yes"/>
    <s v="no"/>
    <s v="no"/>
    <s v="no"/>
    <n v="4"/>
    <n v="10"/>
    <n v="9"/>
    <x v="6"/>
  </r>
  <r>
    <n v="45"/>
    <s v="GP"/>
    <x v="0"/>
    <x v="3"/>
    <s v="Urban"/>
    <s v="Less than or equal to 3"/>
    <s v="Living together"/>
    <x v="1"/>
    <x v="1"/>
    <s v="other"/>
    <s v="at_home"/>
    <x v="0"/>
    <n v="1"/>
    <s v="yes"/>
    <s v="no"/>
    <s v="yes"/>
    <s v="yes"/>
    <s v="yes"/>
    <s v="no"/>
    <n v="14"/>
    <n v="10"/>
    <n v="10"/>
    <x v="6"/>
  </r>
  <r>
    <n v="63"/>
    <s v="GP"/>
    <x v="0"/>
    <x v="3"/>
    <s v="Urban"/>
    <s v="Less than or equal to 3"/>
    <s v="Living together"/>
    <x v="0"/>
    <x v="1"/>
    <s v="other"/>
    <s v="services"/>
    <x v="0"/>
    <n v="0"/>
    <s v="yes"/>
    <s v="no"/>
    <s v="yes"/>
    <s v="yes"/>
    <s v="yes"/>
    <s v="no"/>
    <n v="4"/>
    <n v="8"/>
    <n v="10"/>
    <x v="6"/>
  </r>
  <r>
    <n v="206"/>
    <s v="GP"/>
    <x v="0"/>
    <x v="1"/>
    <s v="Urban"/>
    <s v="Greater than 3"/>
    <s v="Living together"/>
    <x v="2"/>
    <x v="2"/>
    <s v="at_home"/>
    <s v="services"/>
    <x v="3"/>
    <n v="1"/>
    <s v="no"/>
    <s v="yes"/>
    <s v="no"/>
    <s v="yes"/>
    <s v="yes"/>
    <s v="yes"/>
    <n v="28"/>
    <n v="10"/>
    <n v="9"/>
    <x v="6"/>
  </r>
  <r>
    <n v="192"/>
    <s v="GP"/>
    <x v="0"/>
    <x v="1"/>
    <s v="Urban"/>
    <s v="Greater than 3"/>
    <s v="Living together"/>
    <x v="0"/>
    <x v="0"/>
    <s v="at_home"/>
    <s v="services"/>
    <x v="0"/>
    <n v="0"/>
    <s v="no"/>
    <s v="no"/>
    <s v="yes"/>
    <s v="yes"/>
    <s v="yes"/>
    <s v="no"/>
    <n v="0"/>
    <n v="8"/>
    <n v="8"/>
    <x v="6"/>
  </r>
  <r>
    <n v="64"/>
    <s v="GP"/>
    <x v="0"/>
    <x v="3"/>
    <s v="Urban"/>
    <s v="Greater than 3"/>
    <s v="Living together"/>
    <x v="3"/>
    <x v="3"/>
    <s v="teacher"/>
    <s v="health"/>
    <x v="3"/>
    <n v="0"/>
    <s v="yes"/>
    <s v="yes"/>
    <s v="yes"/>
    <s v="yes"/>
    <s v="yes"/>
    <s v="no"/>
    <n v="2"/>
    <n v="10"/>
    <n v="9"/>
    <x v="6"/>
  </r>
  <r>
    <n v="318"/>
    <s v="GP"/>
    <x v="0"/>
    <x v="0"/>
    <s v="Urban"/>
    <s v="Greater than 3"/>
    <s v="Living together"/>
    <x v="3"/>
    <x v="3"/>
    <s v="other"/>
    <s v="other"/>
    <x v="3"/>
    <n v="0"/>
    <s v="no"/>
    <s v="yes"/>
    <s v="yes"/>
    <s v="yes"/>
    <s v="yes"/>
    <s v="yes"/>
    <n v="9"/>
    <n v="9"/>
    <n v="10"/>
    <x v="6"/>
  </r>
  <r>
    <n v="329"/>
    <s v="GP"/>
    <x v="0"/>
    <x v="1"/>
    <s v="Urban"/>
    <s v="Greater than 3"/>
    <s v="Living together"/>
    <x v="3"/>
    <x v="2"/>
    <s v="teacher"/>
    <s v="services"/>
    <x v="3"/>
    <n v="0"/>
    <s v="no"/>
    <s v="yes"/>
    <s v="yes"/>
    <s v="yes"/>
    <s v="yes"/>
    <s v="no"/>
    <n v="7"/>
    <n v="10"/>
    <n v="9"/>
    <x v="6"/>
  </r>
  <r>
    <n v="356"/>
    <s v="MS"/>
    <x v="0"/>
    <x v="0"/>
    <s v="Urban"/>
    <s v="Greater than 3"/>
    <s v="Living together"/>
    <x v="2"/>
    <x v="3"/>
    <s v="services"/>
    <s v="services"/>
    <x v="0"/>
    <n v="0"/>
    <s v="no"/>
    <s v="no"/>
    <s v="no"/>
    <s v="yes"/>
    <s v="no"/>
    <s v="yes"/>
    <n v="0"/>
    <n v="10"/>
    <n v="9"/>
    <x v="6"/>
  </r>
  <r>
    <n v="175"/>
    <s v="GP"/>
    <x v="0"/>
    <x v="3"/>
    <s v="Urban"/>
    <s v="Less than or equal to 3"/>
    <s v="Living together"/>
    <x v="2"/>
    <x v="3"/>
    <s v="other"/>
    <s v="other"/>
    <x v="0"/>
    <n v="0"/>
    <s v="no"/>
    <s v="yes"/>
    <s v="yes"/>
    <s v="yes"/>
    <s v="yes"/>
    <s v="no"/>
    <n v="4"/>
    <n v="10"/>
    <n v="11"/>
    <x v="6"/>
  </r>
  <r>
    <n v="271"/>
    <s v="GP"/>
    <x v="0"/>
    <x v="4"/>
    <s v="Urban"/>
    <s v="Greater than 3"/>
    <s v="Living together"/>
    <x v="2"/>
    <x v="3"/>
    <s v="other"/>
    <s v="services"/>
    <x v="0"/>
    <n v="2"/>
    <s v="no"/>
    <s v="yes"/>
    <s v="yes"/>
    <s v="yes"/>
    <s v="yes"/>
    <s v="no"/>
    <n v="15"/>
    <n v="9"/>
    <n v="9"/>
    <x v="6"/>
  </r>
  <r>
    <n v="229"/>
    <s v="GP"/>
    <x v="1"/>
    <x v="0"/>
    <s v="Urban"/>
    <s v="Less than or equal to 3"/>
    <s v="Living together"/>
    <x v="1"/>
    <x v="0"/>
    <s v="at_home"/>
    <s v="other"/>
    <x v="0"/>
    <n v="0"/>
    <s v="yes"/>
    <s v="yes"/>
    <s v="yes"/>
    <s v="yes"/>
    <s v="yes"/>
    <s v="yes"/>
    <n v="14"/>
    <n v="10"/>
    <n v="8"/>
    <x v="6"/>
  </r>
  <r>
    <n v="59"/>
    <s v="GP"/>
    <x v="1"/>
    <x v="2"/>
    <s v="Urban"/>
    <s v="Less than or equal to 3"/>
    <s v="Living together"/>
    <x v="0"/>
    <x v="1"/>
    <s v="other"/>
    <s v="at_home"/>
    <x v="0"/>
    <n v="0"/>
    <s v="yes"/>
    <s v="no"/>
    <s v="yes"/>
    <s v="yes"/>
    <s v="yes"/>
    <s v="no"/>
    <n v="2"/>
    <n v="9"/>
    <n v="10"/>
    <x v="6"/>
  </r>
  <r>
    <n v="115"/>
    <s v="GP"/>
    <x v="1"/>
    <x v="2"/>
    <s v="Rural"/>
    <s v="Greater than 3"/>
    <s v="Living together"/>
    <x v="1"/>
    <x v="0"/>
    <s v="health"/>
    <s v="services"/>
    <x v="0"/>
    <n v="0"/>
    <s v="no"/>
    <s v="no"/>
    <s v="yes"/>
    <s v="yes"/>
    <s v="yes"/>
    <s v="yes"/>
    <n v="8"/>
    <n v="9"/>
    <n v="9"/>
    <x v="6"/>
  </r>
  <r>
    <n v="142"/>
    <s v="GP"/>
    <x v="1"/>
    <x v="3"/>
    <s v="Urban"/>
    <s v="Less than or equal to 3"/>
    <s v="Living together"/>
    <x v="1"/>
    <x v="1"/>
    <s v="services"/>
    <s v="services"/>
    <x v="2"/>
    <n v="2"/>
    <s v="no"/>
    <s v="no"/>
    <s v="yes"/>
    <s v="yes"/>
    <s v="yes"/>
    <s v="no"/>
    <n v="8"/>
    <n v="9"/>
    <n v="9"/>
    <x v="6"/>
  </r>
  <r>
    <n v="395"/>
    <s v="MS"/>
    <x v="1"/>
    <x v="4"/>
    <s v="Urban"/>
    <s v="Less than or equal to 3"/>
    <s v="Living together"/>
    <x v="0"/>
    <x v="0"/>
    <s v="other"/>
    <s v="at_home"/>
    <x v="2"/>
    <n v="0"/>
    <s v="no"/>
    <s v="no"/>
    <s v="no"/>
    <s v="yes"/>
    <s v="yes"/>
    <s v="no"/>
    <n v="5"/>
    <n v="8"/>
    <n v="9"/>
    <x v="6"/>
  </r>
  <r>
    <n v="179"/>
    <s v="GP"/>
    <x v="1"/>
    <x v="3"/>
    <s v="Rural"/>
    <s v="Greater than 3"/>
    <s v="Living together"/>
    <x v="3"/>
    <x v="1"/>
    <s v="teacher"/>
    <s v="services"/>
    <x v="2"/>
    <n v="0"/>
    <s v="no"/>
    <s v="no"/>
    <s v="yes"/>
    <s v="yes"/>
    <s v="yes"/>
    <s v="yes"/>
    <n v="10"/>
    <n v="10"/>
    <n v="8"/>
    <x v="6"/>
  </r>
  <r>
    <n v="278"/>
    <s v="GP"/>
    <x v="1"/>
    <x v="0"/>
    <s v="Urban"/>
    <s v="Greater than 3"/>
    <s v="Living together"/>
    <x v="3"/>
    <x v="2"/>
    <s v="teacher"/>
    <s v="services"/>
    <x v="2"/>
    <n v="0"/>
    <s v="no"/>
    <s v="yes"/>
    <s v="yes"/>
    <s v="yes"/>
    <s v="yes"/>
    <s v="no"/>
    <n v="22"/>
    <n v="9"/>
    <n v="9"/>
    <x v="6"/>
  </r>
  <r>
    <n v="176"/>
    <s v="GP"/>
    <x v="1"/>
    <x v="1"/>
    <s v="Urban"/>
    <s v="Less than or equal to 3"/>
    <s v="Living together"/>
    <x v="3"/>
    <x v="3"/>
    <s v="teacher"/>
    <s v="other"/>
    <x v="0"/>
    <n v="0"/>
    <s v="no"/>
    <s v="yes"/>
    <s v="yes"/>
    <s v="yes"/>
    <s v="yes"/>
    <s v="no"/>
    <n v="4"/>
    <n v="10"/>
    <n v="9"/>
    <x v="6"/>
  </r>
  <r>
    <n v="391"/>
    <s v="MS"/>
    <x v="1"/>
    <x v="7"/>
    <s v="Urban"/>
    <s v="Less than or equal to 3"/>
    <s v="Apart"/>
    <x v="1"/>
    <x v="1"/>
    <s v="services"/>
    <s v="services"/>
    <x v="0"/>
    <n v="2"/>
    <s v="no"/>
    <s v="yes"/>
    <s v="no"/>
    <s v="yes"/>
    <s v="no"/>
    <s v="no"/>
    <n v="11"/>
    <n v="9"/>
    <n v="9"/>
    <x v="6"/>
  </r>
  <r>
    <n v="233"/>
    <s v="GP"/>
    <x v="1"/>
    <x v="1"/>
    <s v="Urban"/>
    <s v="Greater than 3"/>
    <s v="Living together"/>
    <x v="3"/>
    <x v="2"/>
    <s v="teacher"/>
    <s v="teacher"/>
    <x v="0"/>
    <n v="0"/>
    <s v="yes"/>
    <s v="no"/>
    <s v="yes"/>
    <s v="yes"/>
    <s v="yes"/>
    <s v="yes"/>
    <n v="14"/>
    <n v="11"/>
    <n v="9"/>
    <x v="6"/>
  </r>
  <r>
    <n v="348"/>
    <s v="GP"/>
    <x v="1"/>
    <x v="0"/>
    <s v="Urban"/>
    <s v="Greater than 3"/>
    <s v="Living together"/>
    <x v="3"/>
    <x v="3"/>
    <s v="teacher"/>
    <s v="other"/>
    <x v="3"/>
    <n v="0"/>
    <s v="no"/>
    <s v="yes"/>
    <s v="no"/>
    <s v="yes"/>
    <s v="yes"/>
    <s v="yes"/>
    <n v="0"/>
    <n v="10"/>
    <n v="10"/>
    <x v="6"/>
  </r>
  <r>
    <n v="153"/>
    <s v="GP"/>
    <x v="0"/>
    <x v="2"/>
    <s v="Rural"/>
    <s v="Greater than 3"/>
    <s v="Living together"/>
    <x v="2"/>
    <x v="3"/>
    <s v="services"/>
    <s v="services"/>
    <x v="3"/>
    <n v="2"/>
    <s v="no"/>
    <s v="yes"/>
    <s v="yes"/>
    <s v="yes"/>
    <s v="yes"/>
    <s v="yes"/>
    <n v="8"/>
    <n v="10"/>
    <n v="10"/>
    <x v="7"/>
  </r>
  <r>
    <n v="215"/>
    <s v="GP"/>
    <x v="0"/>
    <x v="1"/>
    <s v="Rural"/>
    <s v="Less than or equal to 3"/>
    <s v="Living together"/>
    <x v="3"/>
    <x v="2"/>
    <s v="services"/>
    <s v="other"/>
    <x v="2"/>
    <n v="0"/>
    <s v="no"/>
    <s v="yes"/>
    <s v="no"/>
    <s v="yes"/>
    <s v="no"/>
    <s v="no"/>
    <n v="12"/>
    <n v="8"/>
    <n v="10"/>
    <x v="7"/>
  </r>
  <r>
    <n v="96"/>
    <s v="GP"/>
    <x v="0"/>
    <x v="2"/>
    <s v="Rural"/>
    <s v="Greater than 3"/>
    <s v="Living together"/>
    <x v="0"/>
    <x v="0"/>
    <s v="at_home"/>
    <s v="other"/>
    <x v="1"/>
    <n v="1"/>
    <s v="yes"/>
    <s v="yes"/>
    <s v="yes"/>
    <s v="yes"/>
    <s v="yes"/>
    <s v="no"/>
    <n v="2"/>
    <n v="7"/>
    <n v="10"/>
    <x v="7"/>
  </r>
  <r>
    <n v="200"/>
    <s v="GP"/>
    <x v="0"/>
    <x v="3"/>
    <s v="Urban"/>
    <s v="Less than or equal to 3"/>
    <s v="Living together"/>
    <x v="3"/>
    <x v="2"/>
    <s v="teacher"/>
    <s v="teacher"/>
    <x v="0"/>
    <n v="0"/>
    <s v="no"/>
    <s v="yes"/>
    <s v="no"/>
    <s v="yes"/>
    <s v="yes"/>
    <s v="no"/>
    <n v="0"/>
    <n v="9"/>
    <n v="9"/>
    <x v="7"/>
  </r>
  <r>
    <n v="3"/>
    <s v="GP"/>
    <x v="0"/>
    <x v="2"/>
    <s v="Urban"/>
    <s v="Less than or equal to 3"/>
    <s v="Living together"/>
    <x v="0"/>
    <x v="0"/>
    <s v="at_home"/>
    <s v="other"/>
    <x v="0"/>
    <n v="3"/>
    <s v="yes"/>
    <s v="yes"/>
    <s v="no"/>
    <s v="yes"/>
    <s v="yes"/>
    <s v="no"/>
    <n v="10"/>
    <n v="7"/>
    <n v="8"/>
    <x v="7"/>
  </r>
  <r>
    <n v="85"/>
    <s v="GP"/>
    <x v="0"/>
    <x v="2"/>
    <s v="Urban"/>
    <s v="Greater than 3"/>
    <s v="Living together"/>
    <x v="0"/>
    <x v="0"/>
    <s v="other"/>
    <s v="other"/>
    <x v="0"/>
    <n v="0"/>
    <s v="no"/>
    <s v="no"/>
    <s v="yes"/>
    <s v="no"/>
    <s v="yes"/>
    <s v="no"/>
    <n v="2"/>
    <n v="9"/>
    <n v="10"/>
    <x v="7"/>
  </r>
  <r>
    <n v="209"/>
    <s v="GP"/>
    <x v="0"/>
    <x v="3"/>
    <s v="Urban"/>
    <s v="Greater than 3"/>
    <s v="Living together"/>
    <x v="0"/>
    <x v="0"/>
    <s v="at_home"/>
    <s v="other"/>
    <x v="2"/>
    <n v="0"/>
    <s v="no"/>
    <s v="yes"/>
    <s v="no"/>
    <s v="yes"/>
    <s v="no"/>
    <s v="no"/>
    <n v="6"/>
    <n v="9"/>
    <n v="9"/>
    <x v="7"/>
  </r>
  <r>
    <n v="376"/>
    <s v="MS"/>
    <x v="0"/>
    <x v="0"/>
    <s v="Rural"/>
    <s v="Greater than 3"/>
    <s v="Living together"/>
    <x v="0"/>
    <x v="0"/>
    <s v="other"/>
    <s v="other"/>
    <x v="3"/>
    <n v="0"/>
    <s v="no"/>
    <s v="no"/>
    <s v="no"/>
    <s v="yes"/>
    <s v="yes"/>
    <s v="no"/>
    <n v="2"/>
    <n v="8"/>
    <n v="8"/>
    <x v="7"/>
  </r>
  <r>
    <n v="5"/>
    <s v="GP"/>
    <x v="0"/>
    <x v="3"/>
    <s v="Urban"/>
    <s v="Greater than 3"/>
    <s v="Living together"/>
    <x v="2"/>
    <x v="3"/>
    <s v="other"/>
    <s v="other"/>
    <x v="0"/>
    <n v="0"/>
    <s v="no"/>
    <s v="yes"/>
    <s v="no"/>
    <s v="yes"/>
    <s v="no"/>
    <s v="no"/>
    <n v="4"/>
    <n v="6"/>
    <n v="10"/>
    <x v="7"/>
  </r>
  <r>
    <n v="112"/>
    <s v="GP"/>
    <x v="0"/>
    <x v="3"/>
    <s v="Rural"/>
    <s v="Greater than 3"/>
    <s v="Living together"/>
    <x v="2"/>
    <x v="3"/>
    <s v="services"/>
    <s v="other"/>
    <x v="3"/>
    <n v="1"/>
    <s v="yes"/>
    <s v="no"/>
    <s v="yes"/>
    <s v="yes"/>
    <s v="yes"/>
    <s v="no"/>
    <n v="0"/>
    <n v="7"/>
    <n v="10"/>
    <x v="7"/>
  </r>
  <r>
    <n v="363"/>
    <s v="MS"/>
    <x v="0"/>
    <x v="0"/>
    <s v="Urban"/>
    <s v="Greater than 3"/>
    <s v="Living together"/>
    <x v="2"/>
    <x v="3"/>
    <s v="services"/>
    <s v="services"/>
    <x v="0"/>
    <n v="0"/>
    <s v="no"/>
    <s v="no"/>
    <s v="no"/>
    <s v="yes"/>
    <s v="yes"/>
    <s v="yes"/>
    <n v="0"/>
    <n v="11"/>
    <n v="11"/>
    <x v="7"/>
  </r>
  <r>
    <n v="18"/>
    <s v="GP"/>
    <x v="0"/>
    <x v="3"/>
    <s v="Urban"/>
    <s v="Greater than 3"/>
    <s v="Living together"/>
    <x v="2"/>
    <x v="3"/>
    <s v="other"/>
    <s v="other"/>
    <x v="0"/>
    <n v="0"/>
    <s v="yes"/>
    <s v="no"/>
    <s v="yes"/>
    <s v="yes"/>
    <s v="no"/>
    <s v="no"/>
    <n v="4"/>
    <n v="8"/>
    <n v="10"/>
    <x v="7"/>
  </r>
  <r>
    <n v="202"/>
    <s v="GP"/>
    <x v="0"/>
    <x v="3"/>
    <s v="Urban"/>
    <s v="Greater than 3"/>
    <s v="Living together"/>
    <x v="1"/>
    <x v="3"/>
    <s v="other"/>
    <s v="other"/>
    <x v="0"/>
    <n v="0"/>
    <s v="yes"/>
    <s v="yes"/>
    <s v="yes"/>
    <s v="yes"/>
    <s v="no"/>
    <s v="no"/>
    <n v="6"/>
    <n v="8"/>
    <n v="10"/>
    <x v="7"/>
  </r>
  <r>
    <n v="220"/>
    <s v="GP"/>
    <x v="0"/>
    <x v="1"/>
    <s v="Urban"/>
    <s v="Greater than 3"/>
    <s v="Living together"/>
    <x v="1"/>
    <x v="1"/>
    <s v="at_home"/>
    <s v="at_home"/>
    <x v="3"/>
    <n v="0"/>
    <s v="no"/>
    <s v="yes"/>
    <s v="yes"/>
    <s v="yes"/>
    <s v="yes"/>
    <s v="no"/>
    <n v="4"/>
    <n v="9"/>
    <n v="10"/>
    <x v="7"/>
  </r>
  <r>
    <n v="275"/>
    <s v="GP"/>
    <x v="0"/>
    <x v="1"/>
    <s v="Urban"/>
    <s v="Greater than 3"/>
    <s v="Living together"/>
    <x v="1"/>
    <x v="2"/>
    <s v="at_home"/>
    <s v="health"/>
    <x v="0"/>
    <n v="0"/>
    <s v="no"/>
    <s v="yes"/>
    <s v="no"/>
    <s v="yes"/>
    <s v="yes"/>
    <s v="yes"/>
    <n v="2"/>
    <n v="10"/>
    <n v="10"/>
    <x v="7"/>
  </r>
  <r>
    <n v="345"/>
    <s v="GP"/>
    <x v="0"/>
    <x v="0"/>
    <s v="Urban"/>
    <s v="Greater than 3"/>
    <s v="Living together"/>
    <x v="1"/>
    <x v="3"/>
    <s v="at_home"/>
    <s v="other"/>
    <x v="3"/>
    <n v="0"/>
    <s v="no"/>
    <s v="no"/>
    <s v="no"/>
    <s v="yes"/>
    <s v="yes"/>
    <s v="no"/>
    <n v="4"/>
    <n v="11"/>
    <n v="10"/>
    <x v="7"/>
  </r>
  <r>
    <n v="310"/>
    <s v="GP"/>
    <x v="0"/>
    <x v="4"/>
    <s v="Urban"/>
    <s v="Less than or equal to 3"/>
    <s v="Living together"/>
    <x v="0"/>
    <x v="0"/>
    <s v="at_home"/>
    <s v="other"/>
    <x v="0"/>
    <n v="1"/>
    <s v="yes"/>
    <s v="no"/>
    <s v="yes"/>
    <s v="no"/>
    <s v="yes"/>
    <s v="no"/>
    <n v="18"/>
    <n v="12"/>
    <n v="10"/>
    <x v="7"/>
  </r>
  <r>
    <n v="340"/>
    <s v="GP"/>
    <x v="0"/>
    <x v="1"/>
    <s v="Rural"/>
    <s v="Greater than 3"/>
    <s v="Apart"/>
    <x v="2"/>
    <x v="1"/>
    <s v="other"/>
    <s v="other"/>
    <x v="0"/>
    <n v="0"/>
    <s v="no"/>
    <s v="yes"/>
    <s v="no"/>
    <s v="yes"/>
    <s v="yes"/>
    <s v="no"/>
    <n v="4"/>
    <n v="9"/>
    <n v="10"/>
    <x v="7"/>
  </r>
  <r>
    <n v="369"/>
    <s v="MS"/>
    <x v="0"/>
    <x v="0"/>
    <s v="Urban"/>
    <s v="Greater than 3"/>
    <s v="Living together"/>
    <x v="1"/>
    <x v="3"/>
    <s v="at_home"/>
    <s v="services"/>
    <x v="2"/>
    <n v="0"/>
    <s v="no"/>
    <s v="yes"/>
    <s v="no"/>
    <s v="yes"/>
    <s v="yes"/>
    <s v="yes"/>
    <n v="0"/>
    <n v="11"/>
    <n v="10"/>
    <x v="7"/>
  </r>
  <r>
    <n v="386"/>
    <s v="MS"/>
    <x v="0"/>
    <x v="0"/>
    <s v="Rural"/>
    <s v="Greater than 3"/>
    <s v="Living together"/>
    <x v="1"/>
    <x v="1"/>
    <s v="at_home"/>
    <s v="other"/>
    <x v="3"/>
    <n v="0"/>
    <s v="no"/>
    <s v="yes"/>
    <s v="no"/>
    <s v="yes"/>
    <s v="no"/>
    <s v="no"/>
    <n v="2"/>
    <n v="10"/>
    <n v="9"/>
    <x v="7"/>
  </r>
  <r>
    <n v="94"/>
    <s v="GP"/>
    <x v="0"/>
    <x v="3"/>
    <s v="Urban"/>
    <s v="Greater than 3"/>
    <s v="Living together"/>
    <x v="3"/>
    <x v="1"/>
    <s v="teacher"/>
    <s v="services"/>
    <x v="0"/>
    <n v="0"/>
    <s v="no"/>
    <s v="yes"/>
    <s v="yes"/>
    <s v="yes"/>
    <s v="yes"/>
    <s v="no"/>
    <n v="0"/>
    <n v="11"/>
    <n v="10"/>
    <x v="7"/>
  </r>
  <r>
    <n v="378"/>
    <s v="MS"/>
    <x v="0"/>
    <x v="0"/>
    <s v="Rural"/>
    <s v="Less than or equal to 3"/>
    <s v="Living together"/>
    <x v="3"/>
    <x v="2"/>
    <s v="teacher"/>
    <s v="services"/>
    <x v="0"/>
    <n v="0"/>
    <s v="no"/>
    <s v="yes"/>
    <s v="yes"/>
    <s v="yes"/>
    <s v="yes"/>
    <s v="no"/>
    <n v="4"/>
    <n v="8"/>
    <n v="9"/>
    <x v="7"/>
  </r>
  <r>
    <n v="65"/>
    <s v="GP"/>
    <x v="0"/>
    <x v="2"/>
    <s v="Urban"/>
    <s v="Less than or equal to 3"/>
    <s v="Living together"/>
    <x v="3"/>
    <x v="3"/>
    <s v="services"/>
    <s v="services"/>
    <x v="0"/>
    <n v="0"/>
    <s v="yes"/>
    <s v="no"/>
    <s v="yes"/>
    <s v="yes"/>
    <s v="yes"/>
    <s v="yes"/>
    <n v="0"/>
    <n v="10"/>
    <n v="10"/>
    <x v="7"/>
  </r>
  <r>
    <n v="203"/>
    <s v="GP"/>
    <x v="0"/>
    <x v="1"/>
    <s v="Urban"/>
    <s v="Greater than 3"/>
    <s v="Living together"/>
    <x v="0"/>
    <x v="0"/>
    <s v="other"/>
    <s v="other"/>
    <x v="0"/>
    <n v="0"/>
    <s v="no"/>
    <s v="yes"/>
    <s v="no"/>
    <s v="no"/>
    <s v="no"/>
    <s v="no"/>
    <n v="4"/>
    <n v="9"/>
    <n v="9"/>
    <x v="7"/>
  </r>
  <r>
    <n v="319"/>
    <s v="GP"/>
    <x v="0"/>
    <x v="1"/>
    <s v="Rural"/>
    <s v="Greater than 3"/>
    <s v="Living together"/>
    <x v="2"/>
    <x v="2"/>
    <s v="at_home"/>
    <s v="services"/>
    <x v="3"/>
    <n v="0"/>
    <s v="no"/>
    <s v="yes"/>
    <s v="yes"/>
    <s v="no"/>
    <s v="yes"/>
    <s v="no"/>
    <n v="0"/>
    <n v="11"/>
    <n v="11"/>
    <x v="7"/>
  </r>
  <r>
    <n v="380"/>
    <s v="MS"/>
    <x v="0"/>
    <x v="1"/>
    <s v="Rural"/>
    <s v="Greater than 3"/>
    <s v="Living together"/>
    <x v="2"/>
    <x v="0"/>
    <s v="at_home"/>
    <s v="other"/>
    <x v="0"/>
    <n v="0"/>
    <s v="no"/>
    <s v="yes"/>
    <s v="yes"/>
    <s v="no"/>
    <s v="yes"/>
    <s v="no"/>
    <n v="17"/>
    <n v="10"/>
    <n v="10"/>
    <x v="7"/>
  </r>
  <r>
    <n v="56"/>
    <s v="GP"/>
    <x v="0"/>
    <x v="3"/>
    <s v="Urban"/>
    <s v="Greater than 3"/>
    <s v="Apart"/>
    <x v="1"/>
    <x v="0"/>
    <s v="other"/>
    <s v="other"/>
    <x v="0"/>
    <n v="0"/>
    <s v="no"/>
    <s v="yes"/>
    <s v="yes"/>
    <s v="yes"/>
    <s v="yes"/>
    <s v="yes"/>
    <n v="8"/>
    <n v="8"/>
    <n v="9"/>
    <x v="7"/>
  </r>
  <r>
    <n v="284"/>
    <s v="GP"/>
    <x v="0"/>
    <x v="0"/>
    <s v="Urban"/>
    <s v="Greater than 3"/>
    <s v="Living together"/>
    <x v="0"/>
    <x v="0"/>
    <s v="other"/>
    <s v="other"/>
    <x v="0"/>
    <n v="0"/>
    <s v="yes"/>
    <s v="no"/>
    <s v="yes"/>
    <s v="yes"/>
    <s v="yes"/>
    <s v="no"/>
    <n v="4"/>
    <n v="8"/>
    <n v="9"/>
    <x v="7"/>
  </r>
  <r>
    <n v="98"/>
    <s v="GP"/>
    <x v="0"/>
    <x v="3"/>
    <s v="Urban"/>
    <s v="Greater than 3"/>
    <s v="Living together"/>
    <x v="1"/>
    <x v="0"/>
    <s v="other"/>
    <s v="other"/>
    <x v="0"/>
    <n v="0"/>
    <s v="no"/>
    <s v="yes"/>
    <s v="no"/>
    <s v="yes"/>
    <s v="no"/>
    <s v="yes"/>
    <n v="2"/>
    <n v="8"/>
    <n v="9"/>
    <x v="7"/>
  </r>
  <r>
    <n v="158"/>
    <s v="GP"/>
    <x v="0"/>
    <x v="0"/>
    <s v="Rural"/>
    <s v="Greater than 3"/>
    <s v="Living together"/>
    <x v="0"/>
    <x v="0"/>
    <s v="at_home"/>
    <s v="other"/>
    <x v="2"/>
    <n v="3"/>
    <s v="no"/>
    <s v="no"/>
    <s v="yes"/>
    <s v="no"/>
    <s v="no"/>
    <s v="no"/>
    <n v="6"/>
    <n v="9"/>
    <n v="8"/>
    <x v="7"/>
  </r>
  <r>
    <n v="79"/>
    <s v="GP"/>
    <x v="1"/>
    <x v="1"/>
    <s v="Urban"/>
    <s v="Greater than 3"/>
    <s v="Living together"/>
    <x v="1"/>
    <x v="0"/>
    <s v="other"/>
    <s v="other"/>
    <x v="2"/>
    <n v="3"/>
    <s v="yes"/>
    <s v="no"/>
    <s v="yes"/>
    <s v="yes"/>
    <s v="yes"/>
    <s v="no"/>
    <n v="2"/>
    <n v="8"/>
    <n v="8"/>
    <x v="7"/>
  </r>
  <r>
    <n v="302"/>
    <s v="GP"/>
    <x v="1"/>
    <x v="1"/>
    <s v="Urban"/>
    <s v="Less than or equal to 3"/>
    <s v="Living together"/>
    <x v="3"/>
    <x v="2"/>
    <s v="other"/>
    <s v="teacher"/>
    <x v="2"/>
    <n v="0"/>
    <s v="no"/>
    <s v="yes"/>
    <s v="no"/>
    <s v="yes"/>
    <s v="yes"/>
    <s v="no"/>
    <n v="0"/>
    <n v="11"/>
    <n v="11"/>
    <x v="7"/>
  </r>
  <r>
    <n v="394"/>
    <s v="MS"/>
    <x v="1"/>
    <x v="0"/>
    <s v="Rural"/>
    <s v="Less than or equal to 3"/>
    <s v="Living together"/>
    <x v="2"/>
    <x v="1"/>
    <s v="services"/>
    <s v="other"/>
    <x v="2"/>
    <n v="0"/>
    <s v="no"/>
    <s v="no"/>
    <s v="no"/>
    <s v="no"/>
    <s v="yes"/>
    <s v="no"/>
    <n v="0"/>
    <n v="11"/>
    <n v="12"/>
    <x v="7"/>
  </r>
  <r>
    <n v="359"/>
    <s v="MS"/>
    <x v="1"/>
    <x v="0"/>
    <s v="Urban"/>
    <s v="Less than or equal to 3"/>
    <s v="Living together"/>
    <x v="0"/>
    <x v="0"/>
    <s v="other"/>
    <s v="services"/>
    <x v="2"/>
    <n v="0"/>
    <s v="no"/>
    <s v="no"/>
    <s v="no"/>
    <s v="no"/>
    <s v="yes"/>
    <s v="yes"/>
    <n v="4"/>
    <n v="10"/>
    <n v="10"/>
    <x v="7"/>
  </r>
  <r>
    <n v="89"/>
    <s v="GP"/>
    <x v="1"/>
    <x v="3"/>
    <s v="Urban"/>
    <s v="Greater than 3"/>
    <s v="Living together"/>
    <x v="1"/>
    <x v="1"/>
    <s v="services"/>
    <s v="other"/>
    <x v="0"/>
    <n v="1"/>
    <s v="no"/>
    <s v="yes"/>
    <s v="yes"/>
    <s v="no"/>
    <s v="yes"/>
    <s v="no"/>
    <n v="12"/>
    <n v="11"/>
    <n v="10"/>
    <x v="7"/>
  </r>
  <r>
    <n v="194"/>
    <s v="GP"/>
    <x v="1"/>
    <x v="3"/>
    <s v="Rural"/>
    <s v="Greater than 3"/>
    <s v="Living together"/>
    <x v="2"/>
    <x v="3"/>
    <s v="services"/>
    <s v="services"/>
    <x v="2"/>
    <n v="0"/>
    <s v="no"/>
    <s v="no"/>
    <s v="yes"/>
    <s v="yes"/>
    <s v="yes"/>
    <s v="no"/>
    <n v="8"/>
    <n v="8"/>
    <n v="9"/>
    <x v="7"/>
  </r>
  <r>
    <n v="20"/>
    <s v="GP"/>
    <x v="1"/>
    <x v="3"/>
    <s v="Urban"/>
    <s v="Less than or equal to 3"/>
    <s v="Living together"/>
    <x v="3"/>
    <x v="3"/>
    <s v="health"/>
    <s v="other"/>
    <x v="2"/>
    <n v="0"/>
    <s v="no"/>
    <s v="yes"/>
    <s v="yes"/>
    <s v="yes"/>
    <s v="yes"/>
    <s v="no"/>
    <n v="4"/>
    <n v="8"/>
    <n v="10"/>
    <x v="7"/>
  </r>
  <r>
    <n v="72"/>
    <s v="GP"/>
    <x v="1"/>
    <x v="2"/>
    <s v="Urban"/>
    <s v="Greater than 3"/>
    <s v="Living together"/>
    <x v="3"/>
    <x v="1"/>
    <s v="other"/>
    <s v="other"/>
    <x v="1"/>
    <n v="0"/>
    <s v="no"/>
    <s v="no"/>
    <s v="no"/>
    <s v="yes"/>
    <s v="yes"/>
    <s v="no"/>
    <n v="0"/>
    <n v="10"/>
    <n v="10"/>
    <x v="7"/>
  </r>
  <r>
    <n v="77"/>
    <s v="GP"/>
    <x v="1"/>
    <x v="2"/>
    <s v="Urban"/>
    <s v="Greater than 3"/>
    <s v="Living together"/>
    <x v="3"/>
    <x v="4"/>
    <s v="teacher"/>
    <s v="other"/>
    <x v="1"/>
    <n v="0"/>
    <s v="no"/>
    <s v="no"/>
    <s v="yes"/>
    <s v="yes"/>
    <s v="yes"/>
    <s v="no"/>
    <n v="8"/>
    <n v="11"/>
    <n v="11"/>
    <x v="7"/>
  </r>
  <r>
    <n v="190"/>
    <s v="GP"/>
    <x v="1"/>
    <x v="1"/>
    <s v="Rural"/>
    <s v="Greater than 3"/>
    <s v="Living together"/>
    <x v="0"/>
    <x v="1"/>
    <s v="at_home"/>
    <s v="other"/>
    <x v="0"/>
    <n v="0"/>
    <s v="no"/>
    <s v="no"/>
    <s v="no"/>
    <s v="yes"/>
    <s v="no"/>
    <s v="no"/>
    <n v="4"/>
    <n v="8"/>
    <n v="9"/>
    <x v="7"/>
  </r>
  <r>
    <n v="383"/>
    <s v="MS"/>
    <x v="1"/>
    <x v="1"/>
    <s v="Urban"/>
    <s v="Greater than 3"/>
    <s v="Living together"/>
    <x v="1"/>
    <x v="3"/>
    <s v="other"/>
    <s v="services"/>
    <x v="0"/>
    <n v="0"/>
    <s v="no"/>
    <s v="no"/>
    <s v="yes"/>
    <s v="yes"/>
    <s v="yes"/>
    <s v="no"/>
    <n v="2"/>
    <n v="11"/>
    <n v="11"/>
    <x v="7"/>
  </r>
  <r>
    <n v="76"/>
    <s v="GP"/>
    <x v="1"/>
    <x v="2"/>
    <s v="Urban"/>
    <s v="Greater than 3"/>
    <s v="Living together"/>
    <x v="3"/>
    <x v="3"/>
    <s v="teacher"/>
    <s v="other"/>
    <x v="0"/>
    <n v="0"/>
    <s v="no"/>
    <s v="yes"/>
    <s v="yes"/>
    <s v="yes"/>
    <s v="yes"/>
    <s v="no"/>
    <n v="6"/>
    <n v="9"/>
    <n v="9"/>
    <x v="7"/>
  </r>
  <r>
    <n v="280"/>
    <s v="GP"/>
    <x v="1"/>
    <x v="0"/>
    <s v="Urban"/>
    <s v="Less than or equal to 3"/>
    <s v="Living together"/>
    <x v="3"/>
    <x v="3"/>
    <s v="teacher"/>
    <s v="services"/>
    <x v="2"/>
    <n v="0"/>
    <s v="no"/>
    <s v="yes"/>
    <s v="yes"/>
    <s v="yes"/>
    <s v="yes"/>
    <s v="no"/>
    <n v="8"/>
    <n v="10"/>
    <n v="11"/>
    <x v="7"/>
  </r>
  <r>
    <n v="164"/>
    <s v="GP"/>
    <x v="1"/>
    <x v="1"/>
    <s v="Urban"/>
    <s v="Greater than 3"/>
    <s v="Living together"/>
    <x v="0"/>
    <x v="3"/>
    <s v="at_home"/>
    <s v="services"/>
    <x v="2"/>
    <n v="0"/>
    <s v="no"/>
    <s v="no"/>
    <s v="no"/>
    <s v="yes"/>
    <s v="yes"/>
    <s v="no"/>
    <n v="2"/>
    <n v="10"/>
    <n v="10"/>
    <x v="7"/>
  </r>
  <r>
    <n v="236"/>
    <s v="GP"/>
    <x v="1"/>
    <x v="3"/>
    <s v="Urban"/>
    <s v="Greater than 3"/>
    <s v="Living together"/>
    <x v="2"/>
    <x v="1"/>
    <s v="at_home"/>
    <s v="other"/>
    <x v="3"/>
    <n v="0"/>
    <s v="no"/>
    <s v="no"/>
    <s v="yes"/>
    <s v="yes"/>
    <s v="yes"/>
    <s v="yes"/>
    <n v="10"/>
    <n v="11"/>
    <n v="9"/>
    <x v="7"/>
  </r>
  <r>
    <n v="252"/>
    <s v="GP"/>
    <x v="1"/>
    <x v="3"/>
    <s v="Urban"/>
    <s v="Greater than 3"/>
    <s v="Living together"/>
    <x v="2"/>
    <x v="3"/>
    <s v="at_home"/>
    <s v="other"/>
    <x v="0"/>
    <n v="0"/>
    <s v="yes"/>
    <s v="no"/>
    <s v="no"/>
    <s v="no"/>
    <s v="yes"/>
    <s v="no"/>
    <n v="6"/>
    <n v="7"/>
    <n v="10"/>
    <x v="7"/>
  </r>
  <r>
    <n v="366"/>
    <s v="MS"/>
    <x v="1"/>
    <x v="0"/>
    <s v="Rural"/>
    <s v="Greater than 3"/>
    <s v="Living together"/>
    <x v="0"/>
    <x v="3"/>
    <s v="at_home"/>
    <s v="other"/>
    <x v="0"/>
    <n v="0"/>
    <s v="no"/>
    <s v="yes"/>
    <s v="no"/>
    <s v="yes"/>
    <s v="no"/>
    <s v="no"/>
    <n v="4"/>
    <n v="10"/>
    <n v="10"/>
    <x v="7"/>
  </r>
  <r>
    <n v="198"/>
    <s v="GP"/>
    <x v="1"/>
    <x v="3"/>
    <s v="Rural"/>
    <s v="Less than or equal to 3"/>
    <s v="Living together"/>
    <x v="2"/>
    <x v="3"/>
    <s v="teacher"/>
    <s v="other"/>
    <x v="2"/>
    <n v="0"/>
    <s v="no"/>
    <s v="yes"/>
    <s v="yes"/>
    <s v="yes"/>
    <s v="yes"/>
    <s v="no"/>
    <n v="8"/>
    <n v="9"/>
    <n v="9"/>
    <x v="7"/>
  </r>
  <r>
    <n v="173"/>
    <s v="GP"/>
    <x v="1"/>
    <x v="1"/>
    <s v="Urban"/>
    <s v="Less than or equal to 3"/>
    <s v="Living together"/>
    <x v="3"/>
    <x v="2"/>
    <s v="teacher"/>
    <s v="other"/>
    <x v="0"/>
    <n v="0"/>
    <s v="no"/>
    <s v="yes"/>
    <s v="yes"/>
    <s v="yes"/>
    <s v="yes"/>
    <s v="no"/>
    <n v="0"/>
    <n v="13"/>
    <n v="11"/>
    <x v="7"/>
  </r>
  <r>
    <n v="282"/>
    <s v="GP"/>
    <x v="1"/>
    <x v="1"/>
    <s v="Urban"/>
    <s v="Less than or equal to 3"/>
    <s v="Apart"/>
    <x v="2"/>
    <x v="1"/>
    <s v="teacher"/>
    <s v="services"/>
    <x v="2"/>
    <n v="1"/>
    <s v="no"/>
    <s v="no"/>
    <s v="no"/>
    <s v="yes"/>
    <s v="yes"/>
    <s v="no"/>
    <n v="19"/>
    <n v="11"/>
    <n v="9"/>
    <x v="7"/>
  </r>
  <r>
    <n v="267"/>
    <s v="GP"/>
    <x v="1"/>
    <x v="1"/>
    <s v="Urban"/>
    <s v="Greater than 3"/>
    <s v="Living together"/>
    <x v="2"/>
    <x v="0"/>
    <s v="services"/>
    <s v="other"/>
    <x v="0"/>
    <n v="0"/>
    <s v="no"/>
    <s v="yes"/>
    <s v="yes"/>
    <s v="yes"/>
    <s v="yes"/>
    <s v="yes"/>
    <n v="2"/>
    <n v="9"/>
    <n v="9"/>
    <x v="7"/>
  </r>
  <r>
    <n v="150"/>
    <s v="GP"/>
    <x v="1"/>
    <x v="2"/>
    <s v="Urban"/>
    <s v="Less than or equal to 3"/>
    <s v="Apart"/>
    <x v="1"/>
    <x v="0"/>
    <s v="services"/>
    <s v="other"/>
    <x v="2"/>
    <n v="3"/>
    <s v="no"/>
    <s v="no"/>
    <s v="no"/>
    <s v="yes"/>
    <s v="yes"/>
    <s v="no"/>
    <n v="0"/>
    <n v="8"/>
    <n v="9"/>
    <x v="7"/>
  </r>
  <r>
    <n v="167"/>
    <s v="GP"/>
    <x v="1"/>
    <x v="3"/>
    <s v="Urban"/>
    <s v="Greater than 3"/>
    <s v="Living together"/>
    <x v="1"/>
    <x v="1"/>
    <s v="other"/>
    <s v="other"/>
    <x v="0"/>
    <n v="0"/>
    <s v="no"/>
    <s v="no"/>
    <s v="no"/>
    <s v="yes"/>
    <s v="yes"/>
    <s v="no"/>
    <n v="4"/>
    <n v="10"/>
    <n v="10"/>
    <x v="7"/>
  </r>
  <r>
    <n v="328"/>
    <s v="GP"/>
    <x v="1"/>
    <x v="1"/>
    <s v="Rural"/>
    <s v="Greater than 3"/>
    <s v="Living together"/>
    <x v="1"/>
    <x v="1"/>
    <s v="services"/>
    <s v="other"/>
    <x v="2"/>
    <n v="0"/>
    <s v="no"/>
    <s v="no"/>
    <s v="no"/>
    <s v="yes"/>
    <s v="yes"/>
    <s v="no"/>
    <n v="8"/>
    <n v="11"/>
    <n v="10"/>
    <x v="7"/>
  </r>
  <r>
    <n v="53"/>
    <s v="GP"/>
    <x v="1"/>
    <x v="2"/>
    <s v="Urban"/>
    <s v="Less than or equal to 3"/>
    <s v="Apart"/>
    <x v="3"/>
    <x v="1"/>
    <s v="health"/>
    <s v="health"/>
    <x v="2"/>
    <n v="1"/>
    <s v="no"/>
    <s v="no"/>
    <s v="no"/>
    <s v="yes"/>
    <s v="no"/>
    <s v="no"/>
    <n v="6"/>
    <n v="11"/>
    <n v="11"/>
    <x v="7"/>
  </r>
  <r>
    <n v="269"/>
    <s v="GP"/>
    <x v="1"/>
    <x v="0"/>
    <s v="Urban"/>
    <s v="Greater than 3"/>
    <s v="Living together"/>
    <x v="3"/>
    <x v="1"/>
    <s v="health"/>
    <s v="other"/>
    <x v="0"/>
    <n v="0"/>
    <s v="no"/>
    <s v="yes"/>
    <s v="yes"/>
    <s v="yes"/>
    <s v="yes"/>
    <s v="yes"/>
    <n v="10"/>
    <n v="10"/>
    <n v="9"/>
    <x v="7"/>
  </r>
  <r>
    <n v="239"/>
    <s v="GP"/>
    <x v="0"/>
    <x v="1"/>
    <s v="Rural"/>
    <s v="Greater than 3"/>
    <s v="Living together"/>
    <x v="1"/>
    <x v="0"/>
    <s v="at_home"/>
    <s v="services"/>
    <x v="0"/>
    <n v="0"/>
    <s v="no"/>
    <s v="no"/>
    <s v="yes"/>
    <s v="yes"/>
    <s v="no"/>
    <s v="no"/>
    <n v="2"/>
    <n v="13"/>
    <n v="11"/>
    <x v="8"/>
  </r>
  <r>
    <n v="134"/>
    <s v="GP"/>
    <x v="0"/>
    <x v="3"/>
    <s v="Urban"/>
    <s v="Greater than 3"/>
    <s v="Apart"/>
    <x v="2"/>
    <x v="2"/>
    <s v="services"/>
    <s v="other"/>
    <x v="2"/>
    <n v="0"/>
    <s v="no"/>
    <s v="no"/>
    <s v="no"/>
    <s v="yes"/>
    <s v="yes"/>
    <s v="no"/>
    <n v="16"/>
    <n v="12"/>
    <n v="11"/>
    <x v="8"/>
  </r>
  <r>
    <n v="323"/>
    <s v="GP"/>
    <x v="0"/>
    <x v="1"/>
    <s v="Rural"/>
    <s v="Less than or equal to 3"/>
    <s v="Living together"/>
    <x v="1"/>
    <x v="1"/>
    <s v="services"/>
    <s v="services"/>
    <x v="3"/>
    <n v="0"/>
    <s v="no"/>
    <s v="yes"/>
    <s v="yes"/>
    <s v="yes"/>
    <s v="yes"/>
    <s v="no"/>
    <n v="3"/>
    <n v="11"/>
    <n v="11"/>
    <x v="8"/>
  </r>
  <r>
    <n v="370"/>
    <s v="MS"/>
    <x v="0"/>
    <x v="0"/>
    <s v="Rural"/>
    <s v="Greater than 3"/>
    <s v="Living together"/>
    <x v="3"/>
    <x v="2"/>
    <s v="other"/>
    <s v="teacher"/>
    <x v="0"/>
    <n v="0"/>
    <s v="no"/>
    <s v="yes"/>
    <s v="no"/>
    <s v="no"/>
    <s v="yes"/>
    <s v="yes"/>
    <n v="10"/>
    <n v="14"/>
    <n v="12"/>
    <x v="8"/>
  </r>
  <r>
    <n v="316"/>
    <s v="GP"/>
    <x v="0"/>
    <x v="4"/>
    <s v="Rural"/>
    <s v="Greater than 3"/>
    <s v="Living together"/>
    <x v="1"/>
    <x v="3"/>
    <s v="other"/>
    <s v="other"/>
    <x v="3"/>
    <n v="1"/>
    <s v="no"/>
    <s v="no"/>
    <s v="no"/>
    <s v="yes"/>
    <s v="yes"/>
    <s v="yes"/>
    <n v="40"/>
    <n v="13"/>
    <n v="11"/>
    <x v="8"/>
  </r>
  <r>
    <n v="143"/>
    <s v="GP"/>
    <x v="0"/>
    <x v="2"/>
    <s v="Urban"/>
    <s v="Greater than 3"/>
    <s v="Living together"/>
    <x v="3"/>
    <x v="2"/>
    <s v="teacher"/>
    <s v="services"/>
    <x v="3"/>
    <n v="0"/>
    <s v="no"/>
    <s v="yes"/>
    <s v="yes"/>
    <s v="yes"/>
    <s v="yes"/>
    <s v="no"/>
    <n v="2"/>
    <n v="9"/>
    <n v="11"/>
    <x v="8"/>
  </r>
  <r>
    <n v="146"/>
    <s v="GP"/>
    <x v="0"/>
    <x v="2"/>
    <s v="Urban"/>
    <s v="Greater than 3"/>
    <s v="Living together"/>
    <x v="0"/>
    <x v="0"/>
    <s v="other"/>
    <s v="services"/>
    <x v="0"/>
    <n v="0"/>
    <s v="no"/>
    <s v="yes"/>
    <s v="no"/>
    <s v="yes"/>
    <s v="yes"/>
    <s v="no"/>
    <n v="0"/>
    <n v="8"/>
    <n v="11"/>
    <x v="8"/>
  </r>
  <r>
    <n v="148"/>
    <s v="GP"/>
    <x v="0"/>
    <x v="2"/>
    <s v="Urban"/>
    <s v="Greater than 3"/>
    <s v="Living together"/>
    <x v="0"/>
    <x v="1"/>
    <s v="at_home"/>
    <s v="other"/>
    <x v="0"/>
    <n v="0"/>
    <s v="no"/>
    <s v="yes"/>
    <s v="no"/>
    <s v="no"/>
    <s v="yes"/>
    <s v="no"/>
    <n v="2"/>
    <n v="10"/>
    <n v="11"/>
    <x v="8"/>
  </r>
  <r>
    <n v="39"/>
    <s v="GP"/>
    <x v="0"/>
    <x v="2"/>
    <s v="Rural"/>
    <s v="Greater than 3"/>
    <s v="Living together"/>
    <x v="2"/>
    <x v="2"/>
    <s v="services"/>
    <s v="health"/>
    <x v="3"/>
    <n v="0"/>
    <s v="yes"/>
    <s v="yes"/>
    <s v="yes"/>
    <s v="yes"/>
    <s v="yes"/>
    <s v="no"/>
    <n v="2"/>
    <n v="12"/>
    <n v="12"/>
    <x v="8"/>
  </r>
  <r>
    <n v="314"/>
    <s v="GP"/>
    <x v="0"/>
    <x v="4"/>
    <s v="Urban"/>
    <s v="Less than or equal to 3"/>
    <s v="Living together"/>
    <x v="2"/>
    <x v="1"/>
    <s v="services"/>
    <s v="other"/>
    <x v="0"/>
    <n v="1"/>
    <s v="no"/>
    <s v="yes"/>
    <s v="no"/>
    <s v="no"/>
    <s v="yes"/>
    <s v="yes"/>
    <n v="22"/>
    <n v="13"/>
    <n v="10"/>
    <x v="8"/>
  </r>
  <r>
    <n v="127"/>
    <s v="GP"/>
    <x v="0"/>
    <x v="2"/>
    <s v="Urban"/>
    <s v="Less than or equal to 3"/>
    <s v="Apart"/>
    <x v="2"/>
    <x v="2"/>
    <s v="other"/>
    <s v="other"/>
    <x v="0"/>
    <n v="0"/>
    <s v="yes"/>
    <s v="no"/>
    <s v="yes"/>
    <s v="yes"/>
    <s v="yes"/>
    <s v="yes"/>
    <n v="0"/>
    <n v="7"/>
    <n v="10"/>
    <x v="8"/>
  </r>
  <r>
    <n v="358"/>
    <s v="MS"/>
    <x v="0"/>
    <x v="1"/>
    <s v="Urban"/>
    <s v="Less than or equal to 3"/>
    <s v="Apart"/>
    <x v="2"/>
    <x v="1"/>
    <s v="services"/>
    <s v="other"/>
    <x v="0"/>
    <n v="0"/>
    <s v="no"/>
    <s v="no"/>
    <s v="no"/>
    <s v="yes"/>
    <s v="no"/>
    <s v="yes"/>
    <n v="2"/>
    <n v="12"/>
    <n v="12"/>
    <x v="8"/>
  </r>
  <r>
    <n v="41"/>
    <s v="GP"/>
    <x v="0"/>
    <x v="3"/>
    <s v="Urban"/>
    <s v="Less than or equal to 3"/>
    <s v="Living together"/>
    <x v="1"/>
    <x v="1"/>
    <s v="other"/>
    <s v="other"/>
    <x v="0"/>
    <n v="1"/>
    <s v="no"/>
    <s v="no"/>
    <s v="yes"/>
    <s v="no"/>
    <s v="yes"/>
    <s v="yes"/>
    <n v="25"/>
    <n v="7"/>
    <n v="10"/>
    <x v="8"/>
  </r>
  <r>
    <n v="373"/>
    <s v="MS"/>
    <x v="0"/>
    <x v="1"/>
    <s v="Urban"/>
    <s v="Greater than 3"/>
    <s v="Living together"/>
    <x v="1"/>
    <x v="1"/>
    <s v="other"/>
    <s v="at_home"/>
    <x v="3"/>
    <n v="0"/>
    <s v="no"/>
    <s v="no"/>
    <s v="yes"/>
    <s v="yes"/>
    <s v="no"/>
    <s v="yes"/>
    <n v="8"/>
    <n v="13"/>
    <n v="11"/>
    <x v="8"/>
  </r>
  <r>
    <n v="273"/>
    <s v="GP"/>
    <x v="0"/>
    <x v="0"/>
    <s v="Urban"/>
    <s v="Less than or equal to 3"/>
    <s v="Living together"/>
    <x v="0"/>
    <x v="0"/>
    <s v="other"/>
    <s v="other"/>
    <x v="0"/>
    <n v="0"/>
    <s v="no"/>
    <s v="yes"/>
    <s v="no"/>
    <s v="no"/>
    <s v="no"/>
    <s v="no"/>
    <n v="2"/>
    <n v="11"/>
    <n v="11"/>
    <x v="8"/>
  </r>
  <r>
    <n v="75"/>
    <s v="GP"/>
    <x v="0"/>
    <x v="3"/>
    <s v="Urban"/>
    <s v="Greater than 3"/>
    <s v="Living together"/>
    <x v="2"/>
    <x v="3"/>
    <s v="other"/>
    <s v="services"/>
    <x v="0"/>
    <n v="0"/>
    <s v="yes"/>
    <s v="yes"/>
    <s v="yes"/>
    <s v="yes"/>
    <s v="yes"/>
    <s v="no"/>
    <n v="54"/>
    <n v="11"/>
    <n v="12"/>
    <x v="8"/>
  </r>
  <r>
    <n v="106"/>
    <s v="GP"/>
    <x v="0"/>
    <x v="2"/>
    <s v="Urban"/>
    <s v="Greater than 3"/>
    <s v="Apart"/>
    <x v="2"/>
    <x v="3"/>
    <s v="other"/>
    <s v="health"/>
    <x v="1"/>
    <n v="0"/>
    <s v="yes"/>
    <s v="no"/>
    <s v="no"/>
    <s v="yes"/>
    <s v="no"/>
    <s v="no"/>
    <n v="10"/>
    <n v="10"/>
    <n v="11"/>
    <x v="8"/>
  </r>
  <r>
    <n v="78"/>
    <s v="GP"/>
    <x v="0"/>
    <x v="3"/>
    <s v="Urban"/>
    <s v="Greater than 3"/>
    <s v="Living together"/>
    <x v="1"/>
    <x v="1"/>
    <s v="other"/>
    <s v="other"/>
    <x v="1"/>
    <n v="0"/>
    <s v="no"/>
    <s v="yes"/>
    <s v="no"/>
    <s v="yes"/>
    <s v="yes"/>
    <s v="yes"/>
    <n v="0"/>
    <n v="11"/>
    <n v="11"/>
    <x v="8"/>
  </r>
  <r>
    <n v="61"/>
    <s v="GP"/>
    <x v="0"/>
    <x v="3"/>
    <s v="Rural"/>
    <s v="Greater than 3"/>
    <s v="Living together"/>
    <x v="3"/>
    <x v="2"/>
    <s v="health"/>
    <s v="teacher"/>
    <x v="0"/>
    <n v="0"/>
    <s v="no"/>
    <s v="no"/>
    <s v="yes"/>
    <s v="yes"/>
    <s v="no"/>
    <s v="no"/>
    <n v="6"/>
    <n v="10"/>
    <n v="11"/>
    <x v="8"/>
  </r>
  <r>
    <n v="177"/>
    <s v="GP"/>
    <x v="0"/>
    <x v="3"/>
    <s v="Urban"/>
    <s v="Greater than 3"/>
    <s v="Living together"/>
    <x v="1"/>
    <x v="1"/>
    <s v="services"/>
    <s v="other"/>
    <x v="0"/>
    <n v="0"/>
    <s v="no"/>
    <s v="yes"/>
    <s v="yes"/>
    <s v="no"/>
    <s v="yes"/>
    <s v="no"/>
    <n v="2"/>
    <n v="13"/>
    <n v="13"/>
    <x v="8"/>
  </r>
  <r>
    <n v="54"/>
    <s v="GP"/>
    <x v="0"/>
    <x v="2"/>
    <s v="Urban"/>
    <s v="Greater than 3"/>
    <s v="Living together"/>
    <x v="3"/>
    <x v="2"/>
    <s v="services"/>
    <s v="services"/>
    <x v="2"/>
    <n v="0"/>
    <s v="yes"/>
    <s v="yes"/>
    <s v="no"/>
    <s v="yes"/>
    <s v="yes"/>
    <s v="no"/>
    <n v="0"/>
    <n v="8"/>
    <n v="10"/>
    <x v="8"/>
  </r>
  <r>
    <n v="341"/>
    <s v="GP"/>
    <x v="0"/>
    <x v="4"/>
    <s v="Urban"/>
    <s v="Greater than 3"/>
    <s v="Living together"/>
    <x v="1"/>
    <x v="0"/>
    <s v="services"/>
    <s v="services"/>
    <x v="3"/>
    <n v="1"/>
    <s v="no"/>
    <s v="yes"/>
    <s v="yes"/>
    <s v="yes"/>
    <s v="yes"/>
    <s v="yes"/>
    <n v="4"/>
    <n v="11"/>
    <n v="12"/>
    <x v="8"/>
  </r>
  <r>
    <n v="268"/>
    <s v="GP"/>
    <x v="0"/>
    <x v="0"/>
    <s v="Rural"/>
    <s v="Greater than 3"/>
    <s v="Living together"/>
    <x v="3"/>
    <x v="2"/>
    <s v="teacher"/>
    <s v="other"/>
    <x v="0"/>
    <n v="0"/>
    <s v="no"/>
    <s v="yes"/>
    <s v="yes"/>
    <s v="yes"/>
    <s v="yes"/>
    <s v="no"/>
    <n v="8"/>
    <n v="12"/>
    <n v="10"/>
    <x v="8"/>
  </r>
  <r>
    <n v="301"/>
    <s v="GP"/>
    <x v="0"/>
    <x v="0"/>
    <s v="Urban"/>
    <s v="Less than or equal to 3"/>
    <s v="Apart"/>
    <x v="3"/>
    <x v="2"/>
    <s v="health"/>
    <s v="other"/>
    <x v="0"/>
    <n v="0"/>
    <s v="no"/>
    <s v="no"/>
    <s v="no"/>
    <s v="yes"/>
    <s v="yes"/>
    <s v="yes"/>
    <n v="14"/>
    <n v="12"/>
    <n v="10"/>
    <x v="8"/>
  </r>
  <r>
    <n v="320"/>
    <s v="GP"/>
    <x v="0"/>
    <x v="0"/>
    <s v="Urban"/>
    <s v="Greater than 3"/>
    <s v="Living together"/>
    <x v="3"/>
    <x v="2"/>
    <s v="teacher"/>
    <s v="other"/>
    <x v="0"/>
    <n v="0"/>
    <s v="no"/>
    <s v="yes"/>
    <s v="no"/>
    <s v="yes"/>
    <s v="yes"/>
    <s v="no"/>
    <n v="2"/>
    <n v="11"/>
    <n v="11"/>
    <x v="8"/>
  </r>
  <r>
    <n v="47"/>
    <s v="GP"/>
    <x v="0"/>
    <x v="3"/>
    <s v="Urban"/>
    <s v="Less than or equal to 3"/>
    <s v="Apart"/>
    <x v="2"/>
    <x v="3"/>
    <s v="other"/>
    <s v="services"/>
    <x v="0"/>
    <n v="0"/>
    <s v="no"/>
    <s v="no"/>
    <s v="no"/>
    <s v="yes"/>
    <s v="yes"/>
    <s v="no"/>
    <n v="12"/>
    <n v="11"/>
    <n v="12"/>
    <x v="8"/>
  </r>
  <r>
    <n v="205"/>
    <s v="GP"/>
    <x v="0"/>
    <x v="3"/>
    <s v="Rural"/>
    <s v="Greater than 3"/>
    <s v="Living together"/>
    <x v="1"/>
    <x v="1"/>
    <s v="services"/>
    <s v="services"/>
    <x v="1"/>
    <n v="0"/>
    <s v="no"/>
    <s v="yes"/>
    <s v="yes"/>
    <s v="no"/>
    <s v="yes"/>
    <s v="no"/>
    <n v="6"/>
    <n v="10"/>
    <n v="10"/>
    <x v="8"/>
  </r>
  <r>
    <n v="285"/>
    <s v="GP"/>
    <x v="0"/>
    <x v="1"/>
    <s v="Urban"/>
    <s v="Greater than 3"/>
    <s v="Living together"/>
    <x v="1"/>
    <x v="1"/>
    <s v="other"/>
    <s v="other"/>
    <x v="0"/>
    <n v="0"/>
    <s v="no"/>
    <s v="no"/>
    <s v="no"/>
    <s v="no"/>
    <s v="yes"/>
    <s v="no"/>
    <n v="4"/>
    <n v="10"/>
    <n v="9"/>
    <x v="8"/>
  </r>
  <r>
    <n v="62"/>
    <s v="GP"/>
    <x v="0"/>
    <x v="3"/>
    <s v="Urban"/>
    <s v="Greater than 3"/>
    <s v="Living together"/>
    <x v="0"/>
    <x v="0"/>
    <s v="services"/>
    <s v="services"/>
    <x v="2"/>
    <n v="0"/>
    <s v="yes"/>
    <s v="no"/>
    <s v="yes"/>
    <s v="no"/>
    <s v="yes"/>
    <s v="yes"/>
    <n v="6"/>
    <n v="10"/>
    <n v="8"/>
    <x v="8"/>
  </r>
  <r>
    <n v="258"/>
    <s v="GP"/>
    <x v="1"/>
    <x v="4"/>
    <s v="Urban"/>
    <s v="Less than or equal to 3"/>
    <s v="Apart"/>
    <x v="3"/>
    <x v="3"/>
    <s v="services"/>
    <s v="at_home"/>
    <x v="0"/>
    <n v="0"/>
    <s v="no"/>
    <s v="no"/>
    <s v="no"/>
    <s v="yes"/>
    <s v="yes"/>
    <s v="no"/>
    <n v="12"/>
    <n v="11"/>
    <n v="11"/>
    <x v="8"/>
  </r>
  <r>
    <n v="44"/>
    <s v="GP"/>
    <x v="1"/>
    <x v="2"/>
    <s v="Urban"/>
    <s v="Greater than 3"/>
    <s v="Living together"/>
    <x v="1"/>
    <x v="1"/>
    <s v="services"/>
    <s v="services"/>
    <x v="2"/>
    <n v="0"/>
    <s v="yes"/>
    <s v="no"/>
    <s v="no"/>
    <s v="yes"/>
    <s v="yes"/>
    <s v="no"/>
    <n v="0"/>
    <n v="8"/>
    <n v="8"/>
    <x v="8"/>
  </r>
  <r>
    <n v="27"/>
    <s v="GP"/>
    <x v="1"/>
    <x v="2"/>
    <s v="Urban"/>
    <s v="Greater than 3"/>
    <s v="Living together"/>
    <x v="1"/>
    <x v="1"/>
    <s v="other"/>
    <s v="other"/>
    <x v="2"/>
    <n v="0"/>
    <s v="no"/>
    <s v="yes"/>
    <s v="no"/>
    <s v="yes"/>
    <s v="yes"/>
    <s v="no"/>
    <n v="2"/>
    <n v="12"/>
    <n v="12"/>
    <x v="8"/>
  </r>
  <r>
    <n v="232"/>
    <s v="GP"/>
    <x v="1"/>
    <x v="1"/>
    <s v="Rural"/>
    <s v="Greater than 3"/>
    <s v="Living together"/>
    <x v="1"/>
    <x v="1"/>
    <s v="other"/>
    <s v="other"/>
    <x v="0"/>
    <n v="0"/>
    <s v="no"/>
    <s v="yes"/>
    <s v="yes"/>
    <s v="yes"/>
    <s v="yes"/>
    <s v="no"/>
    <n v="4"/>
    <n v="11"/>
    <n v="11"/>
    <x v="8"/>
  </r>
  <r>
    <n v="291"/>
    <s v="GP"/>
    <x v="1"/>
    <x v="0"/>
    <s v="Urban"/>
    <s v="Greater than 3"/>
    <s v="Living together"/>
    <x v="3"/>
    <x v="1"/>
    <s v="teacher"/>
    <s v="other"/>
    <x v="0"/>
    <n v="0"/>
    <s v="no"/>
    <s v="yes"/>
    <s v="yes"/>
    <s v="yes"/>
    <s v="yes"/>
    <s v="yes"/>
    <n v="11"/>
    <n v="12"/>
    <n v="11"/>
    <x v="8"/>
  </r>
  <r>
    <n v="313"/>
    <s v="GP"/>
    <x v="1"/>
    <x v="4"/>
    <s v="Urban"/>
    <s v="Greater than 3"/>
    <s v="Living together"/>
    <x v="0"/>
    <x v="1"/>
    <s v="other"/>
    <s v="services"/>
    <x v="0"/>
    <n v="1"/>
    <s v="no"/>
    <s v="no"/>
    <s v="no"/>
    <s v="no"/>
    <s v="yes"/>
    <s v="no"/>
    <n v="3"/>
    <n v="13"/>
    <n v="11"/>
    <x v="8"/>
  </r>
  <r>
    <n v="82"/>
    <s v="GP"/>
    <x v="1"/>
    <x v="2"/>
    <s v="Urban"/>
    <s v="Greater than 3"/>
    <s v="Living together"/>
    <x v="1"/>
    <x v="3"/>
    <s v="other"/>
    <s v="other"/>
    <x v="3"/>
    <n v="0"/>
    <s v="yes"/>
    <s v="yes"/>
    <s v="no"/>
    <s v="no"/>
    <s v="yes"/>
    <s v="no"/>
    <n v="4"/>
    <n v="11"/>
    <n v="10"/>
    <x v="8"/>
  </r>
  <r>
    <n v="187"/>
    <s v="GP"/>
    <x v="1"/>
    <x v="3"/>
    <s v="Urban"/>
    <s v="Greater than 3"/>
    <s v="Living together"/>
    <x v="0"/>
    <x v="1"/>
    <s v="services"/>
    <s v="services"/>
    <x v="2"/>
    <n v="0"/>
    <s v="no"/>
    <s v="yes"/>
    <s v="yes"/>
    <s v="yes"/>
    <s v="yes"/>
    <s v="yes"/>
    <n v="2"/>
    <n v="11"/>
    <n v="12"/>
    <x v="8"/>
  </r>
  <r>
    <n v="326"/>
    <s v="GP"/>
    <x v="1"/>
    <x v="0"/>
    <s v="Urban"/>
    <s v="Greater than 3"/>
    <s v="Living together"/>
    <x v="3"/>
    <x v="2"/>
    <s v="other"/>
    <s v="other"/>
    <x v="3"/>
    <n v="0"/>
    <s v="no"/>
    <s v="no"/>
    <s v="yes"/>
    <s v="yes"/>
    <s v="yes"/>
    <s v="no"/>
    <n v="3"/>
    <n v="9"/>
    <n v="12"/>
    <x v="8"/>
  </r>
  <r>
    <n v="286"/>
    <s v="GP"/>
    <x v="1"/>
    <x v="1"/>
    <s v="Urban"/>
    <s v="Greater than 3"/>
    <s v="Living together"/>
    <x v="0"/>
    <x v="0"/>
    <s v="other"/>
    <s v="other"/>
    <x v="0"/>
    <n v="0"/>
    <s v="no"/>
    <s v="yes"/>
    <s v="no"/>
    <s v="no"/>
    <s v="yes"/>
    <s v="no"/>
    <n v="2"/>
    <n v="12"/>
    <n v="10"/>
    <x v="8"/>
  </r>
  <r>
    <n v="296"/>
    <s v="GP"/>
    <x v="1"/>
    <x v="1"/>
    <s v="Urban"/>
    <s v="Greater than 3"/>
    <s v="Living together"/>
    <x v="2"/>
    <x v="3"/>
    <s v="health"/>
    <s v="other"/>
    <x v="2"/>
    <n v="0"/>
    <s v="no"/>
    <s v="yes"/>
    <s v="no"/>
    <s v="yes"/>
    <s v="yes"/>
    <s v="no"/>
    <n v="4"/>
    <n v="14"/>
    <n v="12"/>
    <x v="8"/>
  </r>
  <r>
    <n v="14"/>
    <s v="GP"/>
    <x v="1"/>
    <x v="2"/>
    <s v="Urban"/>
    <s v="Greater than 3"/>
    <s v="Living together"/>
    <x v="3"/>
    <x v="3"/>
    <s v="teacher"/>
    <s v="other"/>
    <x v="0"/>
    <n v="0"/>
    <s v="no"/>
    <s v="yes"/>
    <s v="no"/>
    <s v="yes"/>
    <s v="yes"/>
    <s v="no"/>
    <n v="2"/>
    <n v="10"/>
    <n v="10"/>
    <x v="8"/>
  </r>
  <r>
    <n v="180"/>
    <s v="GP"/>
    <x v="1"/>
    <x v="1"/>
    <s v="Urban"/>
    <s v="Greater than 3"/>
    <s v="Living together"/>
    <x v="3"/>
    <x v="3"/>
    <s v="other"/>
    <s v="other"/>
    <x v="0"/>
    <n v="0"/>
    <s v="no"/>
    <s v="no"/>
    <s v="yes"/>
    <s v="yes"/>
    <s v="yes"/>
    <s v="yes"/>
    <n v="4"/>
    <n v="10"/>
    <n v="10"/>
    <x v="8"/>
  </r>
  <r>
    <n v="29"/>
    <s v="GP"/>
    <x v="1"/>
    <x v="3"/>
    <s v="Urban"/>
    <s v="Less than or equal to 3"/>
    <s v="Apart"/>
    <x v="2"/>
    <x v="2"/>
    <s v="services"/>
    <s v="other"/>
    <x v="0"/>
    <n v="0"/>
    <s v="yes"/>
    <s v="no"/>
    <s v="yes"/>
    <s v="yes"/>
    <s v="yes"/>
    <s v="no"/>
    <n v="4"/>
    <n v="11"/>
    <n v="11"/>
    <x v="8"/>
  </r>
  <r>
    <n v="7"/>
    <s v="GP"/>
    <x v="1"/>
    <x v="3"/>
    <s v="Urban"/>
    <s v="Less than or equal to 3"/>
    <s v="Living together"/>
    <x v="1"/>
    <x v="1"/>
    <s v="other"/>
    <s v="other"/>
    <x v="0"/>
    <n v="0"/>
    <s v="no"/>
    <s v="no"/>
    <s v="no"/>
    <s v="yes"/>
    <s v="yes"/>
    <s v="no"/>
    <n v="0"/>
    <n v="12"/>
    <n v="12"/>
    <x v="8"/>
  </r>
  <r>
    <n v="186"/>
    <s v="GP"/>
    <x v="1"/>
    <x v="1"/>
    <s v="Urban"/>
    <s v="Greater than 3"/>
    <s v="Living together"/>
    <x v="2"/>
    <x v="3"/>
    <s v="services"/>
    <s v="services"/>
    <x v="0"/>
    <n v="0"/>
    <s v="no"/>
    <s v="no"/>
    <s v="yes"/>
    <s v="yes"/>
    <s v="yes"/>
    <s v="yes"/>
    <n v="12"/>
    <n v="12"/>
    <n v="12"/>
    <x v="8"/>
  </r>
  <r>
    <n v="30"/>
    <s v="GP"/>
    <x v="1"/>
    <x v="3"/>
    <s v="Urban"/>
    <s v="Greater than 3"/>
    <s v="Living together"/>
    <x v="3"/>
    <x v="2"/>
    <s v="teacher"/>
    <s v="teacher"/>
    <x v="0"/>
    <n v="0"/>
    <s v="no"/>
    <s v="yes"/>
    <s v="yes"/>
    <s v="yes"/>
    <s v="yes"/>
    <s v="yes"/>
    <n v="16"/>
    <n v="10"/>
    <n v="12"/>
    <x v="8"/>
  </r>
  <r>
    <n v="355"/>
    <s v="MS"/>
    <x v="1"/>
    <x v="1"/>
    <s v="Rural"/>
    <s v="Greater than 3"/>
    <s v="Living together"/>
    <x v="3"/>
    <x v="3"/>
    <s v="services"/>
    <s v="other"/>
    <x v="0"/>
    <n v="0"/>
    <s v="no"/>
    <s v="yes"/>
    <s v="yes"/>
    <s v="no"/>
    <s v="yes"/>
    <s v="yes"/>
    <n v="4"/>
    <n v="13"/>
    <n v="11"/>
    <x v="8"/>
  </r>
  <r>
    <n v="155"/>
    <s v="GP"/>
    <x v="0"/>
    <x v="1"/>
    <s v="Urban"/>
    <s v="Greater than 3"/>
    <s v="Living together"/>
    <x v="3"/>
    <x v="2"/>
    <s v="other"/>
    <s v="teacher"/>
    <x v="2"/>
    <n v="0"/>
    <s v="yes"/>
    <s v="no"/>
    <s v="no"/>
    <s v="yes"/>
    <s v="no"/>
    <s v="yes"/>
    <n v="0"/>
    <n v="11"/>
    <n v="11"/>
    <x v="9"/>
  </r>
  <r>
    <n v="185"/>
    <s v="GP"/>
    <x v="0"/>
    <x v="3"/>
    <s v="Urban"/>
    <s v="Greater than 3"/>
    <s v="Living together"/>
    <x v="2"/>
    <x v="1"/>
    <s v="other"/>
    <s v="other"/>
    <x v="0"/>
    <n v="0"/>
    <s v="no"/>
    <s v="yes"/>
    <s v="no"/>
    <s v="yes"/>
    <s v="yes"/>
    <s v="no"/>
    <n v="14"/>
    <n v="12"/>
    <n v="13"/>
    <x v="9"/>
  </r>
  <r>
    <n v="365"/>
    <s v="MS"/>
    <x v="0"/>
    <x v="1"/>
    <s v="Rural"/>
    <s v="Greater than 3"/>
    <s v="Living together"/>
    <x v="0"/>
    <x v="1"/>
    <s v="other"/>
    <s v="services"/>
    <x v="0"/>
    <n v="0"/>
    <s v="no"/>
    <s v="no"/>
    <s v="no"/>
    <s v="no"/>
    <s v="no"/>
    <s v="no"/>
    <n v="0"/>
    <n v="12"/>
    <n v="11"/>
    <x v="9"/>
  </r>
  <r>
    <n v="238"/>
    <s v="GP"/>
    <x v="0"/>
    <x v="3"/>
    <s v="Urban"/>
    <s v="Greater than 3"/>
    <s v="Living together"/>
    <x v="1"/>
    <x v="0"/>
    <s v="other"/>
    <s v="other"/>
    <x v="2"/>
    <n v="0"/>
    <s v="no"/>
    <s v="no"/>
    <s v="no"/>
    <s v="yes"/>
    <s v="yes"/>
    <s v="yes"/>
    <n v="20"/>
    <n v="13"/>
    <n v="12"/>
    <x v="9"/>
  </r>
  <r>
    <n v="12"/>
    <s v="GP"/>
    <x v="0"/>
    <x v="2"/>
    <s v="Urban"/>
    <s v="Greater than 3"/>
    <s v="Living together"/>
    <x v="1"/>
    <x v="0"/>
    <s v="services"/>
    <s v="other"/>
    <x v="3"/>
    <n v="0"/>
    <s v="no"/>
    <s v="no"/>
    <s v="yes"/>
    <s v="yes"/>
    <s v="yes"/>
    <s v="no"/>
    <n v="4"/>
    <n v="10"/>
    <n v="12"/>
    <x v="9"/>
  </r>
  <r>
    <n v="283"/>
    <s v="GP"/>
    <x v="0"/>
    <x v="0"/>
    <s v="Rural"/>
    <s v="Less than or equal to 3"/>
    <s v="Living together"/>
    <x v="0"/>
    <x v="0"/>
    <s v="at_home"/>
    <s v="other"/>
    <x v="1"/>
    <n v="0"/>
    <s v="no"/>
    <s v="yes"/>
    <s v="yes"/>
    <s v="yes"/>
    <s v="no"/>
    <s v="no"/>
    <n v="1"/>
    <n v="12"/>
    <n v="12"/>
    <x v="9"/>
  </r>
  <r>
    <n v="230"/>
    <s v="GP"/>
    <x v="0"/>
    <x v="1"/>
    <s v="Urban"/>
    <s v="Greater than 3"/>
    <s v="Apart"/>
    <x v="1"/>
    <x v="0"/>
    <s v="other"/>
    <s v="other"/>
    <x v="3"/>
    <n v="0"/>
    <s v="no"/>
    <s v="no"/>
    <s v="yes"/>
    <s v="yes"/>
    <s v="yes"/>
    <s v="yes"/>
    <n v="10"/>
    <n v="12"/>
    <n v="10"/>
    <x v="9"/>
  </r>
  <r>
    <n v="306"/>
    <s v="GP"/>
    <x v="0"/>
    <x v="0"/>
    <s v="Urban"/>
    <s v="Greater than 3"/>
    <s v="Living together"/>
    <x v="1"/>
    <x v="2"/>
    <s v="services"/>
    <s v="at_home"/>
    <x v="0"/>
    <n v="1"/>
    <s v="no"/>
    <s v="yes"/>
    <s v="yes"/>
    <s v="yes"/>
    <s v="yes"/>
    <s v="no"/>
    <n v="8"/>
    <n v="14"/>
    <n v="12"/>
    <x v="9"/>
  </r>
  <r>
    <n v="288"/>
    <s v="GP"/>
    <x v="0"/>
    <x v="1"/>
    <s v="Urban"/>
    <s v="Greater than 3"/>
    <s v="Living together"/>
    <x v="0"/>
    <x v="0"/>
    <s v="services"/>
    <s v="teacher"/>
    <x v="3"/>
    <n v="0"/>
    <s v="no"/>
    <s v="yes"/>
    <s v="no"/>
    <s v="yes"/>
    <s v="yes"/>
    <s v="no"/>
    <n v="6"/>
    <n v="13"/>
    <n v="12"/>
    <x v="9"/>
  </r>
  <r>
    <n v="133"/>
    <s v="GP"/>
    <x v="0"/>
    <x v="1"/>
    <s v="Urban"/>
    <s v="Less than or equal to 3"/>
    <s v="Living together"/>
    <x v="1"/>
    <x v="1"/>
    <s v="other"/>
    <s v="other"/>
    <x v="2"/>
    <n v="0"/>
    <s v="no"/>
    <s v="no"/>
    <s v="no"/>
    <s v="yes"/>
    <s v="yes"/>
    <s v="yes"/>
    <n v="12"/>
    <n v="10"/>
    <n v="13"/>
    <x v="9"/>
  </r>
  <r>
    <n v="276"/>
    <s v="GP"/>
    <x v="0"/>
    <x v="1"/>
    <s v="Urban"/>
    <s v="Less than or equal to 3"/>
    <s v="Living together"/>
    <x v="1"/>
    <x v="1"/>
    <s v="services"/>
    <s v="other"/>
    <x v="0"/>
    <n v="0"/>
    <s v="yes"/>
    <s v="yes"/>
    <s v="no"/>
    <s v="yes"/>
    <s v="yes"/>
    <s v="yes"/>
    <n v="6"/>
    <n v="12"/>
    <n v="12"/>
    <x v="9"/>
  </r>
  <r>
    <n v="81"/>
    <s v="GP"/>
    <x v="1"/>
    <x v="2"/>
    <s v="Urban"/>
    <s v="Greater than 3"/>
    <s v="Living together"/>
    <x v="1"/>
    <x v="3"/>
    <s v="other"/>
    <s v="services"/>
    <x v="2"/>
    <n v="0"/>
    <s v="yes"/>
    <s v="yes"/>
    <s v="yes"/>
    <s v="no"/>
    <s v="yes"/>
    <s v="yes"/>
    <n v="2"/>
    <n v="10"/>
    <n v="12"/>
    <x v="9"/>
  </r>
  <r>
    <n v="255"/>
    <s v="GP"/>
    <x v="1"/>
    <x v="1"/>
    <s v="Rural"/>
    <s v="Greater than 3"/>
    <s v="Living together"/>
    <x v="1"/>
    <x v="0"/>
    <s v="other"/>
    <s v="other"/>
    <x v="2"/>
    <n v="0"/>
    <s v="no"/>
    <s v="no"/>
    <s v="no"/>
    <s v="no"/>
    <s v="yes"/>
    <s v="no"/>
    <n v="0"/>
    <n v="8"/>
    <n v="12"/>
    <x v="9"/>
  </r>
  <r>
    <n v="166"/>
    <s v="GP"/>
    <x v="1"/>
    <x v="3"/>
    <s v="Urban"/>
    <s v="Greater than 3"/>
    <s v="Living together"/>
    <x v="2"/>
    <x v="1"/>
    <s v="services"/>
    <s v="services"/>
    <x v="2"/>
    <n v="1"/>
    <s v="no"/>
    <s v="no"/>
    <s v="yes"/>
    <s v="no"/>
    <s v="no"/>
    <s v="no"/>
    <n v="16"/>
    <n v="12"/>
    <n v="11"/>
    <x v="9"/>
  </r>
  <r>
    <n v="31"/>
    <s v="GP"/>
    <x v="1"/>
    <x v="2"/>
    <s v="Urban"/>
    <s v="Greater than 3"/>
    <s v="Living together"/>
    <x v="3"/>
    <x v="2"/>
    <s v="health"/>
    <s v="services"/>
    <x v="0"/>
    <n v="0"/>
    <s v="no"/>
    <s v="yes"/>
    <s v="no"/>
    <s v="no"/>
    <s v="yes"/>
    <s v="no"/>
    <n v="0"/>
    <n v="9"/>
    <n v="11"/>
    <x v="9"/>
  </r>
  <r>
    <n v="244"/>
    <s v="GP"/>
    <x v="1"/>
    <x v="3"/>
    <s v="Urban"/>
    <s v="Greater than 3"/>
    <s v="Living together"/>
    <x v="3"/>
    <x v="2"/>
    <s v="services"/>
    <s v="services"/>
    <x v="2"/>
    <n v="0"/>
    <s v="no"/>
    <s v="no"/>
    <s v="yes"/>
    <s v="yes"/>
    <s v="yes"/>
    <s v="no"/>
    <n v="0"/>
    <n v="13"/>
    <n v="12"/>
    <x v="9"/>
  </r>
  <r>
    <n v="34"/>
    <s v="GP"/>
    <x v="1"/>
    <x v="2"/>
    <s v="Urban"/>
    <s v="Less than or equal to 3"/>
    <s v="Living together"/>
    <x v="2"/>
    <x v="3"/>
    <s v="other"/>
    <s v="other"/>
    <x v="0"/>
    <n v="0"/>
    <s v="no"/>
    <s v="no"/>
    <s v="yes"/>
    <s v="no"/>
    <s v="yes"/>
    <s v="no"/>
    <n v="0"/>
    <n v="8"/>
    <n v="10"/>
    <x v="9"/>
  </r>
  <r>
    <n v="263"/>
    <s v="GP"/>
    <x v="1"/>
    <x v="0"/>
    <s v="Rural"/>
    <s v="Greater than 3"/>
    <s v="Living together"/>
    <x v="2"/>
    <x v="1"/>
    <s v="other"/>
    <s v="other"/>
    <x v="3"/>
    <n v="0"/>
    <s v="no"/>
    <s v="no"/>
    <s v="yes"/>
    <s v="no"/>
    <s v="no"/>
    <s v="no"/>
    <n v="1"/>
    <n v="13"/>
    <n v="12"/>
    <x v="9"/>
  </r>
  <r>
    <n v="67"/>
    <s v="GP"/>
    <x v="1"/>
    <x v="2"/>
    <s v="Urban"/>
    <s v="Greater than 3"/>
    <s v="Apart"/>
    <x v="3"/>
    <x v="2"/>
    <s v="other"/>
    <s v="services"/>
    <x v="1"/>
    <n v="0"/>
    <s v="no"/>
    <s v="no"/>
    <s v="yes"/>
    <s v="no"/>
    <s v="yes"/>
    <s v="yes"/>
    <n v="4"/>
    <n v="13"/>
    <n v="13"/>
    <x v="9"/>
  </r>
  <r>
    <n v="242"/>
    <s v="GP"/>
    <x v="1"/>
    <x v="1"/>
    <s v="Rural"/>
    <s v="Less than or equal to 3"/>
    <s v="Apart"/>
    <x v="3"/>
    <x v="2"/>
    <s v="teacher"/>
    <s v="other"/>
    <x v="0"/>
    <n v="0"/>
    <s v="no"/>
    <s v="yes"/>
    <s v="no"/>
    <s v="yes"/>
    <s v="yes"/>
    <s v="no"/>
    <n v="2"/>
    <n v="10"/>
    <n v="11"/>
    <x v="9"/>
  </r>
  <r>
    <n v="362"/>
    <s v="MS"/>
    <x v="1"/>
    <x v="0"/>
    <s v="Rural"/>
    <s v="Less than or equal to 3"/>
    <s v="Living together"/>
    <x v="0"/>
    <x v="0"/>
    <s v="at_home"/>
    <s v="other"/>
    <x v="0"/>
    <n v="1"/>
    <s v="no"/>
    <s v="no"/>
    <s v="yes"/>
    <s v="no"/>
    <s v="no"/>
    <s v="no"/>
    <n v="2"/>
    <n v="13"/>
    <n v="12"/>
    <x v="9"/>
  </r>
  <r>
    <n v="372"/>
    <s v="MS"/>
    <x v="1"/>
    <x v="0"/>
    <s v="Rural"/>
    <s v="Less than or equal to 3"/>
    <s v="Living together"/>
    <x v="0"/>
    <x v="1"/>
    <s v="at_home"/>
    <s v="services"/>
    <x v="2"/>
    <n v="0"/>
    <s v="no"/>
    <s v="yes"/>
    <s v="yes"/>
    <s v="yes"/>
    <s v="yes"/>
    <s v="yes"/>
    <n v="3"/>
    <n v="14"/>
    <n v="12"/>
    <x v="9"/>
  </r>
  <r>
    <n v="182"/>
    <s v="GP"/>
    <x v="1"/>
    <x v="3"/>
    <s v="Urban"/>
    <s v="Greater than 3"/>
    <s v="Living together"/>
    <x v="2"/>
    <x v="3"/>
    <s v="services"/>
    <s v="other"/>
    <x v="0"/>
    <n v="0"/>
    <s v="no"/>
    <s v="yes"/>
    <s v="yes"/>
    <s v="yes"/>
    <s v="yes"/>
    <s v="yes"/>
    <n v="2"/>
    <n v="12"/>
    <n v="13"/>
    <x v="9"/>
  </r>
  <r>
    <n v="309"/>
    <s v="GP"/>
    <x v="1"/>
    <x v="4"/>
    <s v="Rural"/>
    <s v="Greater than 3"/>
    <s v="Living together"/>
    <x v="2"/>
    <x v="3"/>
    <s v="other"/>
    <s v="services"/>
    <x v="0"/>
    <n v="1"/>
    <s v="no"/>
    <s v="no"/>
    <s v="yes"/>
    <s v="yes"/>
    <s v="no"/>
    <s v="yes"/>
    <n v="0"/>
    <n v="15"/>
    <n v="12"/>
    <x v="9"/>
  </r>
  <r>
    <n v="228"/>
    <s v="GP"/>
    <x v="1"/>
    <x v="1"/>
    <s v="Urban"/>
    <s v="Less than or equal to 3"/>
    <s v="Living together"/>
    <x v="1"/>
    <x v="3"/>
    <s v="services"/>
    <s v="services"/>
    <x v="0"/>
    <n v="0"/>
    <s v="no"/>
    <s v="yes"/>
    <s v="no"/>
    <s v="no"/>
    <s v="yes"/>
    <s v="no"/>
    <n v="2"/>
    <n v="12"/>
    <n v="11"/>
    <x v="9"/>
  </r>
  <r>
    <n v="42"/>
    <s v="GP"/>
    <x v="1"/>
    <x v="2"/>
    <s v="Urban"/>
    <s v="Less than or equal to 3"/>
    <s v="Living together"/>
    <x v="3"/>
    <x v="2"/>
    <s v="teacher"/>
    <s v="other"/>
    <x v="2"/>
    <n v="0"/>
    <s v="no"/>
    <s v="no"/>
    <s v="no"/>
    <s v="no"/>
    <s v="yes"/>
    <s v="yes"/>
    <n v="8"/>
    <n v="12"/>
    <n v="12"/>
    <x v="9"/>
  </r>
  <r>
    <n v="139"/>
    <s v="GP"/>
    <x v="1"/>
    <x v="3"/>
    <s v="Urban"/>
    <s v="Less than or equal to 3"/>
    <s v="Living together"/>
    <x v="0"/>
    <x v="0"/>
    <s v="services"/>
    <s v="other"/>
    <x v="0"/>
    <n v="1"/>
    <s v="no"/>
    <s v="no"/>
    <s v="no"/>
    <s v="yes"/>
    <s v="no"/>
    <s v="yes"/>
    <n v="0"/>
    <n v="14"/>
    <n v="12"/>
    <x v="9"/>
  </r>
  <r>
    <n v="24"/>
    <s v="GP"/>
    <x v="1"/>
    <x v="3"/>
    <s v="Urban"/>
    <s v="Less than or equal to 3"/>
    <s v="Living together"/>
    <x v="1"/>
    <x v="1"/>
    <s v="other"/>
    <s v="other"/>
    <x v="0"/>
    <n v="0"/>
    <s v="no"/>
    <s v="no"/>
    <s v="yes"/>
    <s v="yes"/>
    <s v="yes"/>
    <s v="no"/>
    <n v="0"/>
    <n v="13"/>
    <n v="13"/>
    <x v="9"/>
  </r>
  <r>
    <n v="241"/>
    <s v="GP"/>
    <x v="1"/>
    <x v="1"/>
    <s v="Urban"/>
    <s v="Less than or equal to 3"/>
    <s v="Living together"/>
    <x v="3"/>
    <x v="3"/>
    <s v="health"/>
    <s v="other"/>
    <x v="0"/>
    <n v="0"/>
    <s v="no"/>
    <s v="no"/>
    <s v="yes"/>
    <s v="yes"/>
    <s v="yes"/>
    <s v="yes"/>
    <n v="14"/>
    <n v="12"/>
    <n v="12"/>
    <x v="9"/>
  </r>
  <r>
    <n v="160"/>
    <s v="GP"/>
    <x v="1"/>
    <x v="3"/>
    <s v="Urban"/>
    <s v="Greater than 3"/>
    <s v="Living together"/>
    <x v="2"/>
    <x v="3"/>
    <s v="other"/>
    <s v="services"/>
    <x v="0"/>
    <n v="1"/>
    <s v="no"/>
    <s v="yes"/>
    <s v="no"/>
    <s v="yes"/>
    <s v="yes"/>
    <s v="yes"/>
    <n v="4"/>
    <n v="10"/>
    <n v="12"/>
    <x v="9"/>
  </r>
  <r>
    <n v="126"/>
    <s v="GP"/>
    <x v="1"/>
    <x v="2"/>
    <s v="Urban"/>
    <s v="Greater than 3"/>
    <s v="Living together"/>
    <x v="2"/>
    <x v="2"/>
    <s v="services"/>
    <s v="services"/>
    <x v="2"/>
    <n v="0"/>
    <s v="yes"/>
    <s v="no"/>
    <s v="no"/>
    <s v="yes"/>
    <s v="yes"/>
    <s v="no"/>
    <n v="0"/>
    <n v="13"/>
    <n v="13"/>
    <x v="9"/>
  </r>
  <r>
    <n v="312"/>
    <s v="GP"/>
    <x v="0"/>
    <x v="4"/>
    <s v="Urban"/>
    <s v="Greater than 3"/>
    <s v="Living together"/>
    <x v="1"/>
    <x v="0"/>
    <s v="at_home"/>
    <s v="other"/>
    <x v="0"/>
    <n v="0"/>
    <s v="no"/>
    <s v="no"/>
    <s v="no"/>
    <s v="yes"/>
    <s v="yes"/>
    <s v="yes"/>
    <n v="20"/>
    <n v="14"/>
    <n v="12"/>
    <x v="10"/>
  </r>
  <r>
    <n v="40"/>
    <s v="GP"/>
    <x v="0"/>
    <x v="2"/>
    <s v="Rural"/>
    <s v="Greater than 3"/>
    <s v="Living together"/>
    <x v="1"/>
    <x v="1"/>
    <s v="at_home"/>
    <s v="other"/>
    <x v="2"/>
    <n v="0"/>
    <s v="yes"/>
    <s v="yes"/>
    <s v="yes"/>
    <s v="yes"/>
    <s v="no"/>
    <s v="no"/>
    <n v="8"/>
    <n v="14"/>
    <n v="13"/>
    <x v="10"/>
  </r>
  <r>
    <n v="208"/>
    <s v="GP"/>
    <x v="0"/>
    <x v="3"/>
    <s v="Urban"/>
    <s v="Greater than 3"/>
    <s v="Living together"/>
    <x v="3"/>
    <x v="3"/>
    <s v="teacher"/>
    <s v="other"/>
    <x v="0"/>
    <n v="0"/>
    <s v="no"/>
    <s v="yes"/>
    <s v="yes"/>
    <s v="yes"/>
    <s v="yes"/>
    <s v="yes"/>
    <n v="10"/>
    <n v="11"/>
    <n v="12"/>
    <x v="10"/>
  </r>
  <r>
    <n v="113"/>
    <s v="GP"/>
    <x v="0"/>
    <x v="3"/>
    <s v="Urban"/>
    <s v="Greater than 3"/>
    <s v="Living together"/>
    <x v="1"/>
    <x v="1"/>
    <s v="at_home"/>
    <s v="other"/>
    <x v="0"/>
    <n v="1"/>
    <s v="yes"/>
    <s v="no"/>
    <s v="yes"/>
    <s v="yes"/>
    <s v="yes"/>
    <s v="no"/>
    <n v="6"/>
    <n v="10"/>
    <n v="13"/>
    <x v="10"/>
  </r>
  <r>
    <n v="123"/>
    <s v="GP"/>
    <x v="0"/>
    <x v="3"/>
    <s v="Urban"/>
    <s v="Less than or equal to 3"/>
    <s v="Living together"/>
    <x v="1"/>
    <x v="2"/>
    <s v="other"/>
    <s v="health"/>
    <x v="0"/>
    <n v="0"/>
    <s v="no"/>
    <s v="yes"/>
    <s v="yes"/>
    <s v="yes"/>
    <s v="yes"/>
    <s v="yes"/>
    <n v="2"/>
    <n v="13"/>
    <n v="13"/>
    <x v="10"/>
  </r>
  <r>
    <n v="315"/>
    <s v="GP"/>
    <x v="0"/>
    <x v="4"/>
    <s v="Urban"/>
    <s v="Greater than 3"/>
    <s v="Living together"/>
    <x v="0"/>
    <x v="0"/>
    <s v="at_home"/>
    <s v="health"/>
    <x v="3"/>
    <n v="2"/>
    <s v="no"/>
    <s v="no"/>
    <s v="no"/>
    <s v="no"/>
    <s v="yes"/>
    <s v="yes"/>
    <n v="14"/>
    <n v="15"/>
    <n v="13"/>
    <x v="10"/>
  </r>
  <r>
    <n v="321"/>
    <s v="GP"/>
    <x v="0"/>
    <x v="1"/>
    <s v="Urban"/>
    <s v="Greater than 3"/>
    <s v="Apart"/>
    <x v="3"/>
    <x v="3"/>
    <s v="services"/>
    <s v="services"/>
    <x v="0"/>
    <n v="0"/>
    <s v="no"/>
    <s v="yes"/>
    <s v="no"/>
    <s v="yes"/>
    <s v="yes"/>
    <s v="yes"/>
    <n v="23"/>
    <n v="13"/>
    <n v="13"/>
    <x v="10"/>
  </r>
  <r>
    <n v="51"/>
    <s v="GP"/>
    <x v="0"/>
    <x v="3"/>
    <s v="Urban"/>
    <s v="Less than or equal to 3"/>
    <s v="Living together"/>
    <x v="1"/>
    <x v="1"/>
    <s v="services"/>
    <s v="services"/>
    <x v="0"/>
    <n v="0"/>
    <s v="no"/>
    <s v="yes"/>
    <s v="no"/>
    <s v="yes"/>
    <s v="yes"/>
    <s v="no"/>
    <n v="2"/>
    <n v="12"/>
    <n v="13"/>
    <x v="10"/>
  </r>
  <r>
    <n v="191"/>
    <s v="GP"/>
    <x v="0"/>
    <x v="3"/>
    <s v="Urban"/>
    <s v="Greater than 3"/>
    <s v="Living together"/>
    <x v="1"/>
    <x v="3"/>
    <s v="services"/>
    <s v="services"/>
    <x v="0"/>
    <n v="0"/>
    <s v="no"/>
    <s v="no"/>
    <s v="no"/>
    <s v="yes"/>
    <s v="yes"/>
    <s v="no"/>
    <n v="10"/>
    <n v="11"/>
    <n v="12"/>
    <x v="10"/>
  </r>
  <r>
    <n v="52"/>
    <s v="GP"/>
    <x v="0"/>
    <x v="2"/>
    <s v="Urban"/>
    <s v="Less than or equal to 3"/>
    <s v="Living together"/>
    <x v="3"/>
    <x v="1"/>
    <s v="health"/>
    <s v="other"/>
    <x v="0"/>
    <n v="0"/>
    <s v="no"/>
    <s v="yes"/>
    <s v="no"/>
    <s v="yes"/>
    <s v="yes"/>
    <s v="no"/>
    <n v="2"/>
    <n v="11"/>
    <n v="13"/>
    <x v="10"/>
  </r>
  <r>
    <n v="257"/>
    <s v="GP"/>
    <x v="0"/>
    <x v="1"/>
    <s v="Urban"/>
    <s v="Less than or equal to 3"/>
    <s v="Living together"/>
    <x v="3"/>
    <x v="1"/>
    <s v="teacher"/>
    <s v="services"/>
    <x v="1"/>
    <n v="0"/>
    <s v="no"/>
    <s v="yes"/>
    <s v="yes"/>
    <s v="yes"/>
    <s v="yes"/>
    <s v="no"/>
    <n v="6"/>
    <n v="14"/>
    <n v="12"/>
    <x v="10"/>
  </r>
  <r>
    <n v="357"/>
    <s v="MS"/>
    <x v="0"/>
    <x v="1"/>
    <s v="Rural"/>
    <s v="Greater than 3"/>
    <s v="Living together"/>
    <x v="3"/>
    <x v="2"/>
    <s v="teacher"/>
    <s v="services"/>
    <x v="0"/>
    <n v="0"/>
    <s v="no"/>
    <s v="yes"/>
    <s v="yes"/>
    <s v="yes"/>
    <s v="yes"/>
    <s v="no"/>
    <n v="4"/>
    <n v="12"/>
    <n v="13"/>
    <x v="10"/>
  </r>
  <r>
    <n v="293"/>
    <s v="GP"/>
    <x v="0"/>
    <x v="0"/>
    <s v="Urban"/>
    <s v="Less than or equal to 3"/>
    <s v="Living together"/>
    <x v="1"/>
    <x v="0"/>
    <s v="services"/>
    <s v="at_home"/>
    <x v="0"/>
    <n v="1"/>
    <s v="no"/>
    <s v="no"/>
    <s v="no"/>
    <s v="yes"/>
    <s v="yes"/>
    <s v="yes"/>
    <n v="12"/>
    <n v="12"/>
    <n v="12"/>
    <x v="10"/>
  </r>
  <r>
    <n v="337"/>
    <s v="GP"/>
    <x v="0"/>
    <x v="4"/>
    <s v="Rural"/>
    <s v="Greater than 3"/>
    <s v="Apart"/>
    <x v="2"/>
    <x v="0"/>
    <s v="services"/>
    <s v="at_home"/>
    <x v="3"/>
    <n v="1"/>
    <s v="no"/>
    <s v="yes"/>
    <s v="no"/>
    <s v="yes"/>
    <s v="no"/>
    <s v="no"/>
    <n v="12"/>
    <n v="14"/>
    <n v="13"/>
    <x v="10"/>
  </r>
  <r>
    <n v="144"/>
    <s v="GP"/>
    <x v="0"/>
    <x v="3"/>
    <s v="Urban"/>
    <s v="Less than or equal to 3"/>
    <s v="Living together"/>
    <x v="0"/>
    <x v="0"/>
    <s v="at_home"/>
    <s v="at_home"/>
    <x v="2"/>
    <n v="0"/>
    <s v="no"/>
    <s v="no"/>
    <s v="no"/>
    <s v="yes"/>
    <s v="yes"/>
    <s v="no"/>
    <n v="2"/>
    <n v="14"/>
    <n v="14"/>
    <x v="10"/>
  </r>
  <r>
    <n v="361"/>
    <s v="MS"/>
    <x v="0"/>
    <x v="0"/>
    <s v="Rural"/>
    <s v="Less than or equal to 3"/>
    <s v="Apart"/>
    <x v="0"/>
    <x v="2"/>
    <s v="at_home"/>
    <s v="other"/>
    <x v="0"/>
    <n v="0"/>
    <s v="no"/>
    <s v="no"/>
    <s v="no"/>
    <s v="yes"/>
    <s v="no"/>
    <s v="yes"/>
    <n v="0"/>
    <n v="13"/>
    <n v="13"/>
    <x v="10"/>
  </r>
  <r>
    <n v="55"/>
    <s v="GP"/>
    <x v="0"/>
    <x v="2"/>
    <s v="Urban"/>
    <s v="Less than or equal to 3"/>
    <s v="Apart"/>
    <x v="2"/>
    <x v="3"/>
    <s v="other"/>
    <s v="other"/>
    <x v="2"/>
    <n v="0"/>
    <s v="no"/>
    <s v="yes"/>
    <s v="no"/>
    <s v="yes"/>
    <s v="yes"/>
    <s v="no"/>
    <n v="6"/>
    <n v="10"/>
    <n v="13"/>
    <x v="10"/>
  </r>
  <r>
    <n v="157"/>
    <s v="GP"/>
    <x v="1"/>
    <x v="1"/>
    <s v="Rural"/>
    <s v="Less than or equal to 3"/>
    <s v="Living together"/>
    <x v="0"/>
    <x v="1"/>
    <s v="other"/>
    <s v="other"/>
    <x v="2"/>
    <n v="0"/>
    <s v="no"/>
    <s v="no"/>
    <s v="no"/>
    <s v="yes"/>
    <s v="no"/>
    <s v="no"/>
    <n v="8"/>
    <n v="16"/>
    <n v="12"/>
    <x v="10"/>
  </r>
  <r>
    <n v="237"/>
    <s v="GP"/>
    <x v="1"/>
    <x v="1"/>
    <s v="Urban"/>
    <s v="Less than or equal to 3"/>
    <s v="Living together"/>
    <x v="1"/>
    <x v="1"/>
    <s v="other"/>
    <s v="other"/>
    <x v="0"/>
    <n v="0"/>
    <s v="no"/>
    <s v="yes"/>
    <s v="yes"/>
    <s v="no"/>
    <s v="yes"/>
    <s v="yes"/>
    <n v="4"/>
    <n v="14"/>
    <n v="13"/>
    <x v="10"/>
  </r>
  <r>
    <n v="367"/>
    <s v="MS"/>
    <x v="1"/>
    <x v="0"/>
    <s v="Urban"/>
    <s v="Less than or equal to 3"/>
    <s v="Living together"/>
    <x v="3"/>
    <x v="2"/>
    <s v="teacher"/>
    <s v="services"/>
    <x v="3"/>
    <n v="0"/>
    <s v="no"/>
    <s v="yes"/>
    <s v="no"/>
    <s v="yes"/>
    <s v="yes"/>
    <s v="yes"/>
    <n v="0"/>
    <n v="13"/>
    <n v="13"/>
    <x v="10"/>
  </r>
  <r>
    <n v="247"/>
    <s v="GP"/>
    <x v="1"/>
    <x v="1"/>
    <s v="Urban"/>
    <s v="Greater than 3"/>
    <s v="Living together"/>
    <x v="1"/>
    <x v="3"/>
    <s v="other"/>
    <s v="other"/>
    <x v="2"/>
    <n v="0"/>
    <s v="no"/>
    <s v="no"/>
    <s v="no"/>
    <s v="yes"/>
    <s v="yes"/>
    <s v="no"/>
    <n v="4"/>
    <n v="12"/>
    <n v="12"/>
    <x v="10"/>
  </r>
  <r>
    <n v="118"/>
    <s v="GP"/>
    <x v="1"/>
    <x v="3"/>
    <s v="Urban"/>
    <s v="Greater than 3"/>
    <s v="Living together"/>
    <x v="2"/>
    <x v="3"/>
    <s v="other"/>
    <s v="services"/>
    <x v="2"/>
    <n v="0"/>
    <s v="no"/>
    <s v="no"/>
    <s v="yes"/>
    <s v="yes"/>
    <s v="yes"/>
    <s v="no"/>
    <n v="0"/>
    <n v="13"/>
    <n v="14"/>
    <x v="10"/>
  </r>
  <r>
    <n v="224"/>
    <s v="GP"/>
    <x v="1"/>
    <x v="0"/>
    <s v="Urban"/>
    <s v="Greater than 3"/>
    <s v="Living together"/>
    <x v="1"/>
    <x v="1"/>
    <s v="other"/>
    <s v="other"/>
    <x v="0"/>
    <n v="0"/>
    <s v="no"/>
    <s v="yes"/>
    <s v="no"/>
    <s v="yes"/>
    <s v="yes"/>
    <s v="no"/>
    <n v="0"/>
    <n v="12"/>
    <n v="13"/>
    <x v="10"/>
  </r>
  <r>
    <n v="120"/>
    <s v="GP"/>
    <x v="1"/>
    <x v="2"/>
    <s v="Urban"/>
    <s v="Greater than 3"/>
    <s v="Living together"/>
    <x v="2"/>
    <x v="2"/>
    <s v="other"/>
    <s v="other"/>
    <x v="2"/>
    <n v="0"/>
    <s v="no"/>
    <s v="no"/>
    <s v="no"/>
    <s v="yes"/>
    <s v="yes"/>
    <s v="no"/>
    <n v="6"/>
    <n v="14"/>
    <n v="13"/>
    <x v="10"/>
  </r>
  <r>
    <n v="124"/>
    <s v="GP"/>
    <x v="1"/>
    <x v="3"/>
    <s v="Urban"/>
    <s v="Greater than 3"/>
    <s v="Living together"/>
    <x v="3"/>
    <x v="2"/>
    <s v="health"/>
    <s v="other"/>
    <x v="2"/>
    <n v="0"/>
    <s v="no"/>
    <s v="no"/>
    <s v="yes"/>
    <s v="yes"/>
    <s v="yes"/>
    <s v="no"/>
    <n v="18"/>
    <n v="14"/>
    <n v="11"/>
    <x v="10"/>
  </r>
  <r>
    <n v="234"/>
    <s v="GP"/>
    <x v="1"/>
    <x v="3"/>
    <s v="Urban"/>
    <s v="Greater than 3"/>
    <s v="Living together"/>
    <x v="3"/>
    <x v="2"/>
    <s v="health"/>
    <s v="other"/>
    <x v="0"/>
    <n v="0"/>
    <s v="no"/>
    <s v="yes"/>
    <s v="yes"/>
    <s v="yes"/>
    <s v="yes"/>
    <s v="no"/>
    <n v="2"/>
    <n v="14"/>
    <n v="13"/>
    <x v="10"/>
  </r>
  <r>
    <n v="305"/>
    <s v="GP"/>
    <x v="1"/>
    <x v="4"/>
    <s v="Urban"/>
    <s v="Greater than 3"/>
    <s v="Living together"/>
    <x v="2"/>
    <x v="3"/>
    <s v="other"/>
    <s v="other"/>
    <x v="0"/>
    <n v="1"/>
    <s v="no"/>
    <s v="no"/>
    <s v="yes"/>
    <s v="yes"/>
    <s v="yes"/>
    <s v="yes"/>
    <n v="20"/>
    <n v="15"/>
    <n v="14"/>
    <x v="10"/>
  </r>
  <r>
    <n v="352"/>
    <s v="MS"/>
    <x v="1"/>
    <x v="1"/>
    <s v="Urban"/>
    <s v="Greater than 3"/>
    <s v="Living together"/>
    <x v="2"/>
    <x v="3"/>
    <s v="health"/>
    <s v="other"/>
    <x v="0"/>
    <n v="0"/>
    <s v="no"/>
    <s v="yes"/>
    <s v="no"/>
    <s v="yes"/>
    <s v="yes"/>
    <s v="no"/>
    <n v="2"/>
    <n v="13"/>
    <n v="13"/>
    <x v="10"/>
  </r>
  <r>
    <n v="109"/>
    <s v="GP"/>
    <x v="1"/>
    <x v="2"/>
    <s v="Rural"/>
    <s v="Greater than 3"/>
    <s v="Living together"/>
    <x v="3"/>
    <x v="2"/>
    <s v="other"/>
    <s v="other"/>
    <x v="1"/>
    <n v="0"/>
    <s v="no"/>
    <s v="yes"/>
    <s v="yes"/>
    <s v="yes"/>
    <s v="yes"/>
    <s v="yes"/>
    <n v="6"/>
    <n v="10"/>
    <n v="13"/>
    <x v="10"/>
  </r>
  <r>
    <n v="350"/>
    <s v="MS"/>
    <x v="1"/>
    <x v="0"/>
    <s v="Rural"/>
    <s v="Greater than 3"/>
    <s v="Living together"/>
    <x v="2"/>
    <x v="1"/>
    <s v="other"/>
    <s v="other"/>
    <x v="2"/>
    <n v="1"/>
    <s v="no"/>
    <s v="no"/>
    <s v="no"/>
    <s v="no"/>
    <s v="yes"/>
    <s v="no"/>
    <n v="10"/>
    <n v="11"/>
    <n v="13"/>
    <x v="10"/>
  </r>
  <r>
    <n v="212"/>
    <s v="GP"/>
    <x v="1"/>
    <x v="1"/>
    <s v="Urban"/>
    <s v="Less than or equal to 3"/>
    <s v="Living together"/>
    <x v="3"/>
    <x v="2"/>
    <s v="services"/>
    <s v="other"/>
    <x v="0"/>
    <n v="0"/>
    <s v="no"/>
    <s v="yes"/>
    <s v="no"/>
    <s v="yes"/>
    <s v="yes"/>
    <s v="yes"/>
    <n v="13"/>
    <n v="12"/>
    <n v="12"/>
    <x v="10"/>
  </r>
  <r>
    <n v="170"/>
    <s v="GP"/>
    <x v="0"/>
    <x v="3"/>
    <s v="Urban"/>
    <s v="Greater than 3"/>
    <s v="Living together"/>
    <x v="3"/>
    <x v="2"/>
    <s v="health"/>
    <s v="health"/>
    <x v="0"/>
    <n v="0"/>
    <s v="no"/>
    <s v="yes"/>
    <s v="no"/>
    <s v="yes"/>
    <s v="yes"/>
    <s v="yes"/>
    <n v="0"/>
    <n v="14"/>
    <n v="14"/>
    <x v="11"/>
  </r>
  <r>
    <n v="225"/>
    <s v="GP"/>
    <x v="0"/>
    <x v="3"/>
    <s v="Urban"/>
    <s v="Greater than 3"/>
    <s v="Living together"/>
    <x v="3"/>
    <x v="2"/>
    <s v="teacher"/>
    <s v="services"/>
    <x v="3"/>
    <n v="0"/>
    <s v="no"/>
    <s v="no"/>
    <s v="yes"/>
    <s v="no"/>
    <s v="yes"/>
    <s v="no"/>
    <n v="0"/>
    <n v="13"/>
    <n v="13"/>
    <x v="11"/>
  </r>
  <r>
    <n v="17"/>
    <s v="GP"/>
    <x v="0"/>
    <x v="3"/>
    <s v="Urban"/>
    <s v="Greater than 3"/>
    <s v="Living together"/>
    <x v="3"/>
    <x v="2"/>
    <s v="services"/>
    <s v="services"/>
    <x v="3"/>
    <n v="0"/>
    <s v="no"/>
    <s v="yes"/>
    <s v="yes"/>
    <s v="yes"/>
    <s v="yes"/>
    <s v="no"/>
    <n v="6"/>
    <n v="13"/>
    <n v="14"/>
    <x v="11"/>
  </r>
  <r>
    <n v="231"/>
    <s v="GP"/>
    <x v="0"/>
    <x v="1"/>
    <s v="Urban"/>
    <s v="Less than or equal to 3"/>
    <s v="Living together"/>
    <x v="3"/>
    <x v="3"/>
    <s v="health"/>
    <s v="other"/>
    <x v="0"/>
    <n v="0"/>
    <s v="no"/>
    <s v="no"/>
    <s v="yes"/>
    <s v="yes"/>
    <s v="yes"/>
    <s v="yes"/>
    <n v="14"/>
    <n v="13"/>
    <n v="13"/>
    <x v="11"/>
  </r>
  <r>
    <n v="332"/>
    <s v="GP"/>
    <x v="0"/>
    <x v="1"/>
    <s v="Rural"/>
    <s v="Greater than 3"/>
    <s v="Living together"/>
    <x v="1"/>
    <x v="2"/>
    <s v="at_home"/>
    <s v="other"/>
    <x v="3"/>
    <n v="0"/>
    <s v="no"/>
    <s v="no"/>
    <s v="no"/>
    <s v="yes"/>
    <s v="yes"/>
    <s v="yes"/>
    <n v="7"/>
    <n v="12"/>
    <n v="14"/>
    <x v="11"/>
  </r>
  <r>
    <n v="299"/>
    <s v="GP"/>
    <x v="0"/>
    <x v="0"/>
    <s v="Urban"/>
    <s v="Greater than 3"/>
    <s v="Living together"/>
    <x v="3"/>
    <x v="3"/>
    <s v="other"/>
    <s v="other"/>
    <x v="1"/>
    <n v="0"/>
    <s v="no"/>
    <s v="yes"/>
    <s v="no"/>
    <s v="yes"/>
    <s v="yes"/>
    <s v="no"/>
    <n v="0"/>
    <n v="14"/>
    <n v="13"/>
    <x v="11"/>
  </r>
  <r>
    <n v="303"/>
    <s v="GP"/>
    <x v="0"/>
    <x v="1"/>
    <s v="Urban"/>
    <s v="Greater than 3"/>
    <s v="Living together"/>
    <x v="3"/>
    <x v="1"/>
    <s v="other"/>
    <s v="other"/>
    <x v="3"/>
    <n v="0"/>
    <s v="no"/>
    <s v="yes"/>
    <s v="no"/>
    <s v="yes"/>
    <s v="yes"/>
    <s v="no"/>
    <n v="0"/>
    <n v="15"/>
    <n v="12"/>
    <x v="11"/>
  </r>
  <r>
    <n v="330"/>
    <s v="GP"/>
    <x v="0"/>
    <x v="1"/>
    <s v="Urban"/>
    <s v="Greater than 3"/>
    <s v="Living together"/>
    <x v="3"/>
    <x v="2"/>
    <s v="teacher"/>
    <s v="teacher"/>
    <x v="3"/>
    <n v="0"/>
    <s v="no"/>
    <s v="yes"/>
    <s v="no"/>
    <s v="no"/>
    <s v="yes"/>
    <s v="yes"/>
    <n v="4"/>
    <n v="14"/>
    <n v="14"/>
    <x v="11"/>
  </r>
  <r>
    <n v="88"/>
    <s v="GP"/>
    <x v="0"/>
    <x v="2"/>
    <s v="Urban"/>
    <s v="Greater than 3"/>
    <s v="Living together"/>
    <x v="3"/>
    <x v="1"/>
    <s v="other"/>
    <s v="other"/>
    <x v="3"/>
    <n v="0"/>
    <s v="no"/>
    <s v="no"/>
    <s v="yes"/>
    <s v="yes"/>
    <s v="yes"/>
    <s v="no"/>
    <n v="4"/>
    <n v="13"/>
    <n v="14"/>
    <x v="11"/>
  </r>
  <r>
    <n v="346"/>
    <s v="GP"/>
    <x v="0"/>
    <x v="0"/>
    <s v="Urban"/>
    <s v="Greater than 3"/>
    <s v="Living together"/>
    <x v="2"/>
    <x v="1"/>
    <s v="other"/>
    <s v="services"/>
    <x v="3"/>
    <n v="0"/>
    <s v="no"/>
    <s v="no"/>
    <s v="no"/>
    <s v="yes"/>
    <s v="yes"/>
    <s v="yes"/>
    <n v="7"/>
    <n v="13"/>
    <n v="13"/>
    <x v="11"/>
  </r>
  <r>
    <n v="213"/>
    <s v="GP"/>
    <x v="0"/>
    <x v="3"/>
    <s v="Urban"/>
    <s v="Greater than 3"/>
    <s v="Apart"/>
    <x v="1"/>
    <x v="1"/>
    <s v="other"/>
    <s v="other"/>
    <x v="0"/>
    <n v="0"/>
    <s v="yes"/>
    <s v="yes"/>
    <s v="no"/>
    <s v="yes"/>
    <s v="yes"/>
    <s v="no"/>
    <n v="0"/>
    <n v="12"/>
    <n v="13"/>
    <x v="11"/>
  </r>
  <r>
    <n v="16"/>
    <s v="GP"/>
    <x v="0"/>
    <x v="3"/>
    <s v="Urban"/>
    <s v="Greater than 3"/>
    <s v="Living together"/>
    <x v="3"/>
    <x v="2"/>
    <s v="health"/>
    <s v="other"/>
    <x v="2"/>
    <n v="0"/>
    <s v="no"/>
    <s v="no"/>
    <s v="no"/>
    <s v="yes"/>
    <s v="yes"/>
    <s v="no"/>
    <n v="4"/>
    <n v="14"/>
    <n v="14"/>
    <x v="11"/>
  </r>
  <r>
    <n v="99"/>
    <s v="GP"/>
    <x v="0"/>
    <x v="3"/>
    <s v="Urban"/>
    <s v="Greater than 3"/>
    <s v="Living together"/>
    <x v="3"/>
    <x v="2"/>
    <s v="other"/>
    <s v="other"/>
    <x v="2"/>
    <n v="0"/>
    <s v="no"/>
    <s v="no"/>
    <s v="yes"/>
    <s v="no"/>
    <s v="yes"/>
    <s v="no"/>
    <n v="6"/>
    <n v="11"/>
    <n v="14"/>
    <x v="11"/>
  </r>
  <r>
    <n v="272"/>
    <s v="GP"/>
    <x v="0"/>
    <x v="0"/>
    <s v="Urban"/>
    <s v="Greater than 3"/>
    <s v="Living together"/>
    <x v="1"/>
    <x v="3"/>
    <s v="other"/>
    <s v="services"/>
    <x v="1"/>
    <n v="0"/>
    <s v="no"/>
    <s v="yes"/>
    <s v="yes"/>
    <s v="yes"/>
    <s v="yes"/>
    <s v="yes"/>
    <n v="4"/>
    <n v="15"/>
    <n v="14"/>
    <x v="11"/>
  </r>
  <r>
    <n v="274"/>
    <s v="GP"/>
    <x v="1"/>
    <x v="1"/>
    <s v="Rural"/>
    <s v="Greater than 3"/>
    <s v="Living together"/>
    <x v="0"/>
    <x v="1"/>
    <s v="at_home"/>
    <s v="at_home"/>
    <x v="0"/>
    <n v="0"/>
    <s v="no"/>
    <s v="yes"/>
    <s v="yes"/>
    <s v="no"/>
    <s v="no"/>
    <s v="yes"/>
    <n v="2"/>
    <n v="15"/>
    <n v="14"/>
    <x v="11"/>
  </r>
  <r>
    <n v="74"/>
    <s v="GP"/>
    <x v="1"/>
    <x v="3"/>
    <s v="Urban"/>
    <s v="Greater than 3"/>
    <s v="Living together"/>
    <x v="2"/>
    <x v="0"/>
    <s v="other"/>
    <s v="other"/>
    <x v="2"/>
    <n v="0"/>
    <s v="no"/>
    <s v="no"/>
    <s v="yes"/>
    <s v="yes"/>
    <s v="no"/>
    <s v="no"/>
    <n v="2"/>
    <n v="12"/>
    <n v="12"/>
    <x v="11"/>
  </r>
  <r>
    <n v="295"/>
    <s v="GP"/>
    <x v="1"/>
    <x v="0"/>
    <s v="Rural"/>
    <s v="Less than or equal to 3"/>
    <s v="Living together"/>
    <x v="2"/>
    <x v="1"/>
    <s v="services"/>
    <s v="other"/>
    <x v="3"/>
    <n v="0"/>
    <s v="no"/>
    <s v="yes"/>
    <s v="yes"/>
    <s v="yes"/>
    <s v="yes"/>
    <s v="no"/>
    <n v="8"/>
    <n v="14"/>
    <n v="13"/>
    <x v="11"/>
  </r>
  <r>
    <n v="13"/>
    <s v="GP"/>
    <x v="1"/>
    <x v="2"/>
    <s v="Urban"/>
    <s v="Less than or equal to 3"/>
    <s v="Living together"/>
    <x v="3"/>
    <x v="2"/>
    <s v="health"/>
    <s v="services"/>
    <x v="2"/>
    <n v="0"/>
    <s v="no"/>
    <s v="yes"/>
    <s v="yes"/>
    <s v="yes"/>
    <s v="yes"/>
    <s v="no"/>
    <n v="2"/>
    <n v="14"/>
    <n v="14"/>
    <x v="11"/>
  </r>
  <r>
    <n v="49"/>
    <s v="GP"/>
    <x v="1"/>
    <x v="2"/>
    <s v="Urban"/>
    <s v="Greater than 3"/>
    <s v="Living together"/>
    <x v="3"/>
    <x v="1"/>
    <s v="teacher"/>
    <s v="other"/>
    <x v="0"/>
    <n v="0"/>
    <s v="no"/>
    <s v="yes"/>
    <s v="no"/>
    <s v="yes"/>
    <s v="no"/>
    <s v="no"/>
    <n v="2"/>
    <n v="15"/>
    <n v="15"/>
    <x v="11"/>
  </r>
  <r>
    <n v="117"/>
    <s v="GP"/>
    <x v="1"/>
    <x v="2"/>
    <s v="Urban"/>
    <s v="Greater than 3"/>
    <s v="Living together"/>
    <x v="3"/>
    <x v="2"/>
    <s v="other"/>
    <s v="teacher"/>
    <x v="0"/>
    <n v="0"/>
    <s v="no"/>
    <s v="no"/>
    <s v="yes"/>
    <s v="yes"/>
    <s v="no"/>
    <s v="no"/>
    <n v="2"/>
    <n v="11"/>
    <n v="13"/>
    <x v="11"/>
  </r>
  <r>
    <n v="195"/>
    <s v="GP"/>
    <x v="1"/>
    <x v="3"/>
    <s v="Urban"/>
    <s v="Greater than 3"/>
    <s v="Living together"/>
    <x v="1"/>
    <x v="3"/>
    <s v="other"/>
    <s v="other"/>
    <x v="2"/>
    <n v="0"/>
    <s v="no"/>
    <s v="no"/>
    <s v="no"/>
    <s v="yes"/>
    <s v="yes"/>
    <s v="no"/>
    <n v="0"/>
    <n v="13"/>
    <n v="14"/>
    <x v="11"/>
  </r>
  <r>
    <n v="103"/>
    <s v="GP"/>
    <x v="1"/>
    <x v="2"/>
    <s v="Urban"/>
    <s v="Greater than 3"/>
    <s v="Living together"/>
    <x v="3"/>
    <x v="2"/>
    <s v="services"/>
    <s v="other"/>
    <x v="2"/>
    <n v="0"/>
    <s v="no"/>
    <s v="no"/>
    <s v="yes"/>
    <s v="no"/>
    <s v="yes"/>
    <s v="no"/>
    <n v="4"/>
    <n v="10"/>
    <n v="13"/>
    <x v="11"/>
  </r>
  <r>
    <n v="381"/>
    <s v="MS"/>
    <x v="1"/>
    <x v="0"/>
    <s v="Urban"/>
    <s v="Greater than 3"/>
    <s v="Living together"/>
    <x v="3"/>
    <x v="2"/>
    <s v="teacher"/>
    <s v="teacher"/>
    <x v="0"/>
    <n v="0"/>
    <s v="no"/>
    <s v="yes"/>
    <s v="yes"/>
    <s v="no"/>
    <s v="yes"/>
    <s v="no"/>
    <n v="4"/>
    <n v="15"/>
    <n v="14"/>
    <x v="11"/>
  </r>
  <r>
    <n v="95"/>
    <s v="GP"/>
    <x v="1"/>
    <x v="2"/>
    <s v="Urban"/>
    <s v="Less than or equal to 3"/>
    <s v="Living together"/>
    <x v="1"/>
    <x v="1"/>
    <s v="services"/>
    <s v="health"/>
    <x v="1"/>
    <n v="0"/>
    <s v="no"/>
    <s v="no"/>
    <s v="yes"/>
    <s v="yes"/>
    <s v="yes"/>
    <s v="no"/>
    <n v="6"/>
    <n v="11"/>
    <n v="13"/>
    <x v="11"/>
  </r>
  <r>
    <n v="152"/>
    <s v="GP"/>
    <x v="1"/>
    <x v="3"/>
    <s v="Urban"/>
    <s v="Less than or equal to 3"/>
    <s v="Living together"/>
    <x v="1"/>
    <x v="0"/>
    <s v="at_home"/>
    <s v="other"/>
    <x v="2"/>
    <n v="1"/>
    <s v="no"/>
    <s v="no"/>
    <s v="yes"/>
    <s v="yes"/>
    <s v="no"/>
    <s v="yes"/>
    <n v="6"/>
    <n v="12"/>
    <n v="13"/>
    <x v="11"/>
  </r>
  <r>
    <n v="289"/>
    <s v="GP"/>
    <x v="1"/>
    <x v="0"/>
    <s v="Urban"/>
    <s v="Greater than 3"/>
    <s v="Living together"/>
    <x v="1"/>
    <x v="0"/>
    <s v="services"/>
    <s v="services"/>
    <x v="3"/>
    <n v="0"/>
    <s v="no"/>
    <s v="yes"/>
    <s v="yes"/>
    <s v="yes"/>
    <s v="yes"/>
    <s v="no"/>
    <n v="6"/>
    <n v="15"/>
    <n v="14"/>
    <x v="11"/>
  </r>
  <r>
    <n v="259"/>
    <s v="GP"/>
    <x v="1"/>
    <x v="0"/>
    <s v="Urban"/>
    <s v="Greater than 3"/>
    <s v="Living together"/>
    <x v="1"/>
    <x v="0"/>
    <s v="other"/>
    <s v="other"/>
    <x v="0"/>
    <n v="0"/>
    <s v="no"/>
    <s v="no"/>
    <s v="yes"/>
    <s v="yes"/>
    <s v="yes"/>
    <s v="no"/>
    <n v="8"/>
    <n v="15"/>
    <n v="14"/>
    <x v="11"/>
  </r>
  <r>
    <n v="4"/>
    <s v="GP"/>
    <x v="0"/>
    <x v="2"/>
    <s v="Urban"/>
    <s v="Greater than 3"/>
    <s v="Living together"/>
    <x v="3"/>
    <x v="1"/>
    <s v="health"/>
    <s v="services"/>
    <x v="3"/>
    <n v="0"/>
    <s v="no"/>
    <s v="yes"/>
    <s v="yes"/>
    <s v="yes"/>
    <s v="yes"/>
    <s v="yes"/>
    <n v="2"/>
    <n v="15"/>
    <n v="14"/>
    <x v="12"/>
  </r>
  <r>
    <n v="196"/>
    <s v="GP"/>
    <x v="0"/>
    <x v="1"/>
    <s v="Urban"/>
    <s v="Less than or equal to 3"/>
    <s v="Living together"/>
    <x v="1"/>
    <x v="2"/>
    <s v="services"/>
    <s v="services"/>
    <x v="0"/>
    <n v="0"/>
    <s v="no"/>
    <s v="no"/>
    <s v="yes"/>
    <s v="yes"/>
    <s v="yes"/>
    <s v="yes"/>
    <n v="0"/>
    <n v="14"/>
    <n v="15"/>
    <x v="12"/>
  </r>
  <r>
    <n v="57"/>
    <s v="GP"/>
    <x v="0"/>
    <x v="2"/>
    <s v="Urban"/>
    <s v="Greater than 3"/>
    <s v="Apart"/>
    <x v="3"/>
    <x v="3"/>
    <s v="services"/>
    <s v="services"/>
    <x v="0"/>
    <n v="0"/>
    <s v="no"/>
    <s v="yes"/>
    <s v="yes"/>
    <s v="yes"/>
    <s v="yes"/>
    <s v="no"/>
    <n v="0"/>
    <n v="14"/>
    <n v="15"/>
    <x v="12"/>
  </r>
  <r>
    <n v="140"/>
    <s v="GP"/>
    <x v="0"/>
    <x v="2"/>
    <s v="Urban"/>
    <s v="Greater than 3"/>
    <s v="Living together"/>
    <x v="3"/>
    <x v="2"/>
    <s v="teacher"/>
    <s v="teacher"/>
    <x v="2"/>
    <n v="0"/>
    <s v="no"/>
    <s v="no"/>
    <s v="yes"/>
    <s v="yes"/>
    <s v="yes"/>
    <s v="no"/>
    <n v="0"/>
    <n v="16"/>
    <n v="16"/>
    <x v="12"/>
  </r>
  <r>
    <n v="292"/>
    <s v="GP"/>
    <x v="0"/>
    <x v="1"/>
    <s v="Urban"/>
    <s v="Greater than 3"/>
    <s v="Living together"/>
    <x v="3"/>
    <x v="3"/>
    <s v="health"/>
    <s v="services"/>
    <x v="3"/>
    <n v="0"/>
    <s v="no"/>
    <s v="yes"/>
    <s v="no"/>
    <s v="yes"/>
    <s v="yes"/>
    <s v="no"/>
    <n v="0"/>
    <n v="15"/>
    <n v="15"/>
    <x v="12"/>
  </r>
  <r>
    <n v="325"/>
    <s v="GP"/>
    <x v="0"/>
    <x v="1"/>
    <s v="Urban"/>
    <s v="Less than or equal to 3"/>
    <s v="Living together"/>
    <x v="4"/>
    <x v="1"/>
    <s v="at_home"/>
    <s v="at_home"/>
    <x v="3"/>
    <n v="0"/>
    <s v="no"/>
    <s v="no"/>
    <s v="no"/>
    <s v="yes"/>
    <s v="yes"/>
    <s v="no"/>
    <n v="0"/>
    <n v="16"/>
    <n v="15"/>
    <x v="12"/>
  </r>
  <r>
    <n v="121"/>
    <s v="GP"/>
    <x v="0"/>
    <x v="2"/>
    <s v="Urban"/>
    <s v="Greater than 3"/>
    <s v="Living together"/>
    <x v="0"/>
    <x v="1"/>
    <s v="at_home"/>
    <s v="services"/>
    <x v="0"/>
    <n v="0"/>
    <s v="no"/>
    <s v="no"/>
    <s v="no"/>
    <s v="no"/>
    <s v="yes"/>
    <s v="no"/>
    <n v="2"/>
    <n v="16"/>
    <n v="15"/>
    <x v="12"/>
  </r>
  <r>
    <n v="324"/>
    <s v="GP"/>
    <x v="0"/>
    <x v="1"/>
    <s v="Urban"/>
    <s v="Greater than 3"/>
    <s v="Living together"/>
    <x v="2"/>
    <x v="0"/>
    <s v="services"/>
    <s v="services"/>
    <x v="3"/>
    <n v="0"/>
    <s v="no"/>
    <s v="no"/>
    <s v="no"/>
    <s v="no"/>
    <s v="yes"/>
    <s v="no"/>
    <n v="1"/>
    <n v="12"/>
    <n v="14"/>
    <x v="12"/>
  </r>
  <r>
    <n v="349"/>
    <s v="GP"/>
    <x v="0"/>
    <x v="1"/>
    <s v="Urban"/>
    <s v="Greater than 3"/>
    <s v="Living together"/>
    <x v="3"/>
    <x v="3"/>
    <s v="health"/>
    <s v="other"/>
    <x v="3"/>
    <n v="0"/>
    <s v="no"/>
    <s v="yes"/>
    <s v="yes"/>
    <s v="yes"/>
    <s v="yes"/>
    <s v="yes"/>
    <n v="0"/>
    <n v="13"/>
    <n v="15"/>
    <x v="12"/>
  </r>
  <r>
    <n v="379"/>
    <s v="MS"/>
    <x v="0"/>
    <x v="0"/>
    <s v="Urban"/>
    <s v="Greater than 3"/>
    <s v="Living together"/>
    <x v="2"/>
    <x v="3"/>
    <s v="other"/>
    <s v="other"/>
    <x v="0"/>
    <n v="0"/>
    <s v="no"/>
    <s v="yes"/>
    <s v="no"/>
    <s v="yes"/>
    <s v="yes"/>
    <s v="yes"/>
    <n v="0"/>
    <n v="15"/>
    <n v="15"/>
    <x v="12"/>
  </r>
  <r>
    <n v="66"/>
    <s v="GP"/>
    <x v="0"/>
    <x v="3"/>
    <s v="Urban"/>
    <s v="Less than or equal to 3"/>
    <s v="Living together"/>
    <x v="3"/>
    <x v="3"/>
    <s v="teacher"/>
    <s v="services"/>
    <x v="0"/>
    <n v="0"/>
    <s v="no"/>
    <s v="no"/>
    <s v="yes"/>
    <s v="yes"/>
    <s v="yes"/>
    <s v="no"/>
    <n v="2"/>
    <n v="16"/>
    <n v="15"/>
    <x v="12"/>
  </r>
  <r>
    <n v="377"/>
    <s v="MS"/>
    <x v="0"/>
    <x v="7"/>
    <s v="Urban"/>
    <s v="Greater than 3"/>
    <s v="Living together"/>
    <x v="3"/>
    <x v="1"/>
    <s v="health"/>
    <s v="other"/>
    <x v="3"/>
    <n v="2"/>
    <s v="no"/>
    <s v="yes"/>
    <s v="no"/>
    <s v="no"/>
    <s v="yes"/>
    <s v="yes"/>
    <n v="4"/>
    <n v="15"/>
    <n v="14"/>
    <x v="12"/>
  </r>
  <r>
    <n v="364"/>
    <s v="MS"/>
    <x v="0"/>
    <x v="1"/>
    <s v="Urban"/>
    <s v="Less than or equal to 3"/>
    <s v="Living together"/>
    <x v="3"/>
    <x v="2"/>
    <s v="at_home"/>
    <s v="at_home"/>
    <x v="0"/>
    <n v="0"/>
    <s v="no"/>
    <s v="yes"/>
    <s v="yes"/>
    <s v="yes"/>
    <s v="yes"/>
    <s v="yes"/>
    <n v="0"/>
    <n v="16"/>
    <n v="15"/>
    <x v="12"/>
  </r>
  <r>
    <n v="216"/>
    <s v="GP"/>
    <x v="0"/>
    <x v="1"/>
    <s v="Urban"/>
    <s v="Less than or equal to 3"/>
    <s v="Living together"/>
    <x v="2"/>
    <x v="1"/>
    <s v="other"/>
    <s v="other"/>
    <x v="0"/>
    <n v="0"/>
    <s v="no"/>
    <s v="yes"/>
    <s v="no"/>
    <s v="yes"/>
    <s v="yes"/>
    <s v="no"/>
    <n v="2"/>
    <n v="14"/>
    <n v="15"/>
    <x v="12"/>
  </r>
  <r>
    <n v="227"/>
    <s v="GP"/>
    <x v="0"/>
    <x v="1"/>
    <s v="Urban"/>
    <s v="Greater than 3"/>
    <s v="Living together"/>
    <x v="2"/>
    <x v="1"/>
    <s v="other"/>
    <s v="other"/>
    <x v="0"/>
    <n v="0"/>
    <s v="no"/>
    <s v="no"/>
    <s v="yes"/>
    <s v="no"/>
    <s v="yes"/>
    <s v="no"/>
    <n v="10"/>
    <n v="16"/>
    <n v="15"/>
    <x v="12"/>
  </r>
  <r>
    <n v="336"/>
    <s v="GP"/>
    <x v="0"/>
    <x v="1"/>
    <s v="Urban"/>
    <s v="Greater than 3"/>
    <s v="Living together"/>
    <x v="2"/>
    <x v="2"/>
    <s v="services"/>
    <s v="other"/>
    <x v="3"/>
    <n v="0"/>
    <s v="no"/>
    <s v="no"/>
    <s v="no"/>
    <s v="yes"/>
    <s v="yes"/>
    <s v="no"/>
    <n v="16"/>
    <n v="16"/>
    <n v="15"/>
    <x v="12"/>
  </r>
  <r>
    <n v="21"/>
    <s v="GP"/>
    <x v="1"/>
    <x v="2"/>
    <s v="Urban"/>
    <s v="Greater than 3"/>
    <s v="Living together"/>
    <x v="3"/>
    <x v="3"/>
    <s v="teacher"/>
    <s v="other"/>
    <x v="0"/>
    <n v="0"/>
    <s v="no"/>
    <s v="no"/>
    <s v="no"/>
    <s v="yes"/>
    <s v="yes"/>
    <s v="no"/>
    <n v="0"/>
    <n v="13"/>
    <n v="14"/>
    <x v="12"/>
  </r>
  <r>
    <n v="10"/>
    <s v="GP"/>
    <x v="1"/>
    <x v="2"/>
    <s v="Urban"/>
    <s v="Greater than 3"/>
    <s v="Living together"/>
    <x v="2"/>
    <x v="2"/>
    <s v="other"/>
    <s v="other"/>
    <x v="0"/>
    <n v="0"/>
    <s v="no"/>
    <s v="yes"/>
    <s v="yes"/>
    <s v="yes"/>
    <s v="yes"/>
    <s v="no"/>
    <n v="0"/>
    <n v="14"/>
    <n v="15"/>
    <x v="12"/>
  </r>
  <r>
    <n v="58"/>
    <s v="GP"/>
    <x v="1"/>
    <x v="2"/>
    <s v="Urban"/>
    <s v="Greater than 3"/>
    <s v="Living together"/>
    <x v="3"/>
    <x v="2"/>
    <s v="teacher"/>
    <s v="health"/>
    <x v="0"/>
    <n v="0"/>
    <s v="no"/>
    <s v="no"/>
    <s v="yes"/>
    <s v="yes"/>
    <s v="no"/>
    <s v="no"/>
    <n v="4"/>
    <n v="14"/>
    <n v="15"/>
    <x v="12"/>
  </r>
  <r>
    <n v="159"/>
    <s v="GP"/>
    <x v="1"/>
    <x v="3"/>
    <s v="Rural"/>
    <s v="Greater than 3"/>
    <s v="Living together"/>
    <x v="1"/>
    <x v="1"/>
    <s v="at_home"/>
    <s v="other"/>
    <x v="2"/>
    <n v="0"/>
    <s v="no"/>
    <s v="no"/>
    <s v="no"/>
    <s v="no"/>
    <s v="no"/>
    <s v="no"/>
    <n v="2"/>
    <n v="17"/>
    <n v="15"/>
    <x v="12"/>
  </r>
  <r>
    <n v="250"/>
    <s v="GP"/>
    <x v="1"/>
    <x v="3"/>
    <s v="Urban"/>
    <s v="Greater than 3"/>
    <s v="Living together"/>
    <x v="4"/>
    <x v="1"/>
    <s v="other"/>
    <s v="other"/>
    <x v="2"/>
    <n v="0"/>
    <s v="no"/>
    <s v="yes"/>
    <s v="no"/>
    <s v="no"/>
    <s v="yes"/>
    <s v="no"/>
    <n v="0"/>
    <n v="13"/>
    <n v="15"/>
    <x v="12"/>
  </r>
  <r>
    <n v="71"/>
    <s v="GP"/>
    <x v="1"/>
    <x v="3"/>
    <s v="Urban"/>
    <s v="Greater than 3"/>
    <s v="Living together"/>
    <x v="2"/>
    <x v="0"/>
    <s v="other"/>
    <s v="other"/>
    <x v="1"/>
    <n v="0"/>
    <s v="no"/>
    <s v="yes"/>
    <s v="no"/>
    <s v="yes"/>
    <s v="yes"/>
    <s v="no"/>
    <n v="0"/>
    <n v="13"/>
    <n v="15"/>
    <x v="12"/>
  </r>
  <r>
    <n v="6"/>
    <s v="GP"/>
    <x v="1"/>
    <x v="3"/>
    <s v="Urban"/>
    <s v="Less than or equal to 3"/>
    <s v="Living together"/>
    <x v="3"/>
    <x v="3"/>
    <s v="services"/>
    <s v="other"/>
    <x v="0"/>
    <n v="0"/>
    <s v="no"/>
    <s v="yes"/>
    <s v="yes"/>
    <s v="yes"/>
    <s v="yes"/>
    <s v="no"/>
    <n v="10"/>
    <n v="15"/>
    <n v="15"/>
    <x v="12"/>
  </r>
  <r>
    <n v="22"/>
    <s v="GP"/>
    <x v="1"/>
    <x v="2"/>
    <s v="Urban"/>
    <s v="Greater than 3"/>
    <s v="Living together"/>
    <x v="3"/>
    <x v="2"/>
    <s v="health"/>
    <s v="health"/>
    <x v="2"/>
    <n v="0"/>
    <s v="no"/>
    <s v="yes"/>
    <s v="no"/>
    <s v="yes"/>
    <s v="yes"/>
    <s v="no"/>
    <n v="0"/>
    <n v="12"/>
    <n v="15"/>
    <x v="12"/>
  </r>
  <r>
    <n v="38"/>
    <s v="GP"/>
    <x v="1"/>
    <x v="3"/>
    <s v="Rural"/>
    <s v="Greater than 3"/>
    <s v="Apart"/>
    <x v="3"/>
    <x v="2"/>
    <s v="other"/>
    <s v="teacher"/>
    <x v="3"/>
    <n v="0"/>
    <s v="no"/>
    <s v="no"/>
    <s v="yes"/>
    <s v="yes"/>
    <s v="yes"/>
    <s v="yes"/>
    <n v="7"/>
    <n v="15"/>
    <n v="16"/>
    <x v="12"/>
  </r>
  <r>
    <n v="97"/>
    <s v="GP"/>
    <x v="1"/>
    <x v="3"/>
    <s v="Rural"/>
    <s v="Greater than 3"/>
    <s v="Living together"/>
    <x v="3"/>
    <x v="3"/>
    <s v="services"/>
    <s v="other"/>
    <x v="2"/>
    <n v="0"/>
    <s v="yes"/>
    <s v="no"/>
    <s v="yes"/>
    <s v="no"/>
    <s v="yes"/>
    <s v="no"/>
    <n v="2"/>
    <n v="11"/>
    <n v="15"/>
    <x v="12"/>
  </r>
  <r>
    <n v="188"/>
    <s v="GP"/>
    <x v="1"/>
    <x v="3"/>
    <s v="Urban"/>
    <s v="Less than or equal to 3"/>
    <s v="Living together"/>
    <x v="1"/>
    <x v="0"/>
    <s v="other"/>
    <s v="other"/>
    <x v="0"/>
    <n v="0"/>
    <s v="no"/>
    <s v="yes"/>
    <s v="yes"/>
    <s v="yes"/>
    <s v="yes"/>
    <s v="yes"/>
    <n v="0"/>
    <n v="15"/>
    <n v="15"/>
    <x v="12"/>
  </r>
  <r>
    <n v="343"/>
    <s v="GP"/>
    <x v="1"/>
    <x v="0"/>
    <s v="Urban"/>
    <s v="Less than or equal to 3"/>
    <s v="Living together"/>
    <x v="2"/>
    <x v="2"/>
    <s v="services"/>
    <s v="other"/>
    <x v="0"/>
    <n v="0"/>
    <s v="no"/>
    <s v="no"/>
    <s v="yes"/>
    <s v="yes"/>
    <s v="yes"/>
    <s v="yes"/>
    <n v="11"/>
    <n v="16"/>
    <n v="15"/>
    <x v="12"/>
  </r>
  <r>
    <n v="84"/>
    <s v="GP"/>
    <x v="1"/>
    <x v="2"/>
    <s v="Urban"/>
    <s v="Less than or equal to 3"/>
    <s v="Living together"/>
    <x v="1"/>
    <x v="1"/>
    <s v="services"/>
    <s v="services"/>
    <x v="0"/>
    <n v="0"/>
    <s v="no"/>
    <s v="yes"/>
    <s v="yes"/>
    <s v="yes"/>
    <s v="yes"/>
    <s v="no"/>
    <n v="4"/>
    <n v="15"/>
    <n v="15"/>
    <x v="12"/>
  </r>
  <r>
    <n v="290"/>
    <s v="GP"/>
    <x v="1"/>
    <x v="0"/>
    <s v="Urban"/>
    <s v="Less than or equal to 3"/>
    <s v="Apart"/>
    <x v="3"/>
    <x v="2"/>
    <s v="teacher"/>
    <s v="teacher"/>
    <x v="0"/>
    <n v="0"/>
    <s v="no"/>
    <s v="yes"/>
    <s v="yes"/>
    <s v="yes"/>
    <s v="yes"/>
    <s v="no"/>
    <n v="9"/>
    <n v="15"/>
    <n v="13"/>
    <x v="12"/>
  </r>
  <r>
    <n v="35"/>
    <s v="GP"/>
    <x v="1"/>
    <x v="3"/>
    <s v="Urban"/>
    <s v="Greater than 3"/>
    <s v="Living together"/>
    <x v="2"/>
    <x v="1"/>
    <s v="other"/>
    <s v="other"/>
    <x v="2"/>
    <n v="0"/>
    <s v="no"/>
    <s v="yes"/>
    <s v="no"/>
    <s v="no"/>
    <s v="yes"/>
    <s v="no"/>
    <n v="0"/>
    <n v="12"/>
    <n v="14"/>
    <x v="12"/>
  </r>
  <r>
    <n v="28"/>
    <s v="GP"/>
    <x v="1"/>
    <x v="2"/>
    <s v="Urban"/>
    <s v="Greater than 3"/>
    <s v="Living together"/>
    <x v="3"/>
    <x v="1"/>
    <s v="health"/>
    <s v="services"/>
    <x v="2"/>
    <n v="0"/>
    <s v="no"/>
    <s v="yes"/>
    <s v="no"/>
    <s v="yes"/>
    <s v="yes"/>
    <s v="no"/>
    <n v="4"/>
    <n v="15"/>
    <n v="16"/>
    <x v="12"/>
  </r>
  <r>
    <n v="122"/>
    <s v="GP"/>
    <x v="1"/>
    <x v="2"/>
    <s v="Urban"/>
    <s v="Greater than 3"/>
    <s v="Living together"/>
    <x v="1"/>
    <x v="1"/>
    <s v="services"/>
    <s v="services"/>
    <x v="1"/>
    <n v="0"/>
    <s v="no"/>
    <s v="yes"/>
    <s v="yes"/>
    <s v="yes"/>
    <s v="yes"/>
    <s v="no"/>
    <n v="6"/>
    <n v="16"/>
    <n v="14"/>
    <x v="12"/>
  </r>
  <r>
    <n v="70"/>
    <s v="GP"/>
    <x v="0"/>
    <x v="2"/>
    <s v="Rural"/>
    <s v="Less than or equal to 3"/>
    <s v="Living together"/>
    <x v="2"/>
    <x v="0"/>
    <s v="other"/>
    <s v="other"/>
    <x v="1"/>
    <n v="0"/>
    <s v="no"/>
    <s v="no"/>
    <s v="no"/>
    <s v="no"/>
    <s v="yes"/>
    <s v="no"/>
    <n v="12"/>
    <n v="16"/>
    <n v="16"/>
    <x v="13"/>
  </r>
  <r>
    <n v="360"/>
    <s v="MS"/>
    <x v="0"/>
    <x v="0"/>
    <s v="Urban"/>
    <s v="Less than or equal to 3"/>
    <s v="Living together"/>
    <x v="0"/>
    <x v="0"/>
    <s v="at_home"/>
    <s v="services"/>
    <x v="3"/>
    <n v="0"/>
    <s v="no"/>
    <s v="no"/>
    <s v="no"/>
    <s v="yes"/>
    <s v="yes"/>
    <s v="no"/>
    <n v="0"/>
    <n v="18"/>
    <n v="16"/>
    <x v="13"/>
  </r>
  <r>
    <n v="60"/>
    <s v="GP"/>
    <x v="0"/>
    <x v="3"/>
    <s v="Urban"/>
    <s v="Greater than 3"/>
    <s v="Living together"/>
    <x v="3"/>
    <x v="1"/>
    <s v="services"/>
    <s v="other"/>
    <x v="0"/>
    <n v="0"/>
    <s v="no"/>
    <s v="no"/>
    <s v="no"/>
    <s v="yes"/>
    <s v="yes"/>
    <s v="no"/>
    <n v="2"/>
    <n v="15"/>
    <n v="16"/>
    <x v="13"/>
  </r>
  <r>
    <n v="168"/>
    <s v="GP"/>
    <x v="0"/>
    <x v="3"/>
    <s v="Urban"/>
    <s v="Greater than 3"/>
    <s v="Living together"/>
    <x v="3"/>
    <x v="1"/>
    <s v="health"/>
    <s v="services"/>
    <x v="0"/>
    <n v="0"/>
    <s v="no"/>
    <s v="yes"/>
    <s v="no"/>
    <s v="yes"/>
    <s v="yes"/>
    <s v="yes"/>
    <n v="0"/>
    <n v="14"/>
    <n v="15"/>
    <x v="13"/>
  </r>
  <r>
    <n v="201"/>
    <s v="GP"/>
    <x v="0"/>
    <x v="3"/>
    <s v="Urban"/>
    <s v="Greater than 3"/>
    <s v="Living together"/>
    <x v="3"/>
    <x v="3"/>
    <s v="health"/>
    <s v="other"/>
    <x v="0"/>
    <n v="0"/>
    <s v="no"/>
    <s v="no"/>
    <s v="yes"/>
    <s v="yes"/>
    <s v="yes"/>
    <s v="no"/>
    <n v="2"/>
    <n v="16"/>
    <n v="16"/>
    <x v="13"/>
  </r>
  <r>
    <n v="110"/>
    <s v="GP"/>
    <x v="0"/>
    <x v="3"/>
    <s v="Urban"/>
    <s v="Less than or equal to 3"/>
    <s v="Living together"/>
    <x v="3"/>
    <x v="2"/>
    <s v="health"/>
    <s v="health"/>
    <x v="3"/>
    <n v="0"/>
    <s v="no"/>
    <s v="yes"/>
    <s v="yes"/>
    <s v="yes"/>
    <s v="yes"/>
    <s v="yes"/>
    <n v="4"/>
    <n v="14"/>
    <n v="15"/>
    <x v="13"/>
  </r>
  <r>
    <n v="23"/>
    <s v="GP"/>
    <x v="1"/>
    <x v="3"/>
    <s v="Urban"/>
    <s v="Less than or equal to 3"/>
    <s v="Living together"/>
    <x v="3"/>
    <x v="1"/>
    <s v="teacher"/>
    <s v="other"/>
    <x v="0"/>
    <n v="0"/>
    <s v="no"/>
    <s v="no"/>
    <s v="yes"/>
    <s v="yes"/>
    <s v="yes"/>
    <s v="no"/>
    <n v="2"/>
    <n v="15"/>
    <n v="15"/>
    <x v="13"/>
  </r>
  <r>
    <n v="300"/>
    <s v="GP"/>
    <x v="1"/>
    <x v="0"/>
    <s v="Urban"/>
    <s v="Less than or equal to 3"/>
    <s v="Living together"/>
    <x v="3"/>
    <x v="2"/>
    <s v="teacher"/>
    <s v="teacher"/>
    <x v="2"/>
    <n v="0"/>
    <s v="no"/>
    <s v="yes"/>
    <s v="no"/>
    <s v="yes"/>
    <s v="yes"/>
    <s v="yes"/>
    <n v="5"/>
    <n v="16"/>
    <n v="15"/>
    <x v="13"/>
  </r>
  <r>
    <n v="15"/>
    <s v="GP"/>
    <x v="1"/>
    <x v="2"/>
    <s v="Urban"/>
    <s v="Greater than 3"/>
    <s v="Apart"/>
    <x v="1"/>
    <x v="1"/>
    <s v="other"/>
    <s v="other"/>
    <x v="3"/>
    <n v="0"/>
    <s v="no"/>
    <s v="no"/>
    <s v="no"/>
    <s v="yes"/>
    <s v="yes"/>
    <s v="yes"/>
    <n v="0"/>
    <n v="14"/>
    <n v="16"/>
    <x v="13"/>
  </r>
  <r>
    <n v="33"/>
    <s v="GP"/>
    <x v="1"/>
    <x v="2"/>
    <s v="Rural"/>
    <s v="Greater than 3"/>
    <s v="Living together"/>
    <x v="3"/>
    <x v="3"/>
    <s v="teacher"/>
    <s v="at_home"/>
    <x v="0"/>
    <n v="0"/>
    <s v="no"/>
    <s v="no"/>
    <s v="yes"/>
    <s v="yes"/>
    <s v="yes"/>
    <s v="yes"/>
    <n v="0"/>
    <n v="17"/>
    <n v="16"/>
    <x v="13"/>
  </r>
  <r>
    <n v="172"/>
    <s v="GP"/>
    <x v="1"/>
    <x v="3"/>
    <s v="Urban"/>
    <s v="Greater than 3"/>
    <s v="Living together"/>
    <x v="0"/>
    <x v="4"/>
    <s v="other"/>
    <s v="other"/>
    <x v="0"/>
    <n v="0"/>
    <s v="no"/>
    <s v="yes"/>
    <s v="yes"/>
    <s v="yes"/>
    <s v="yes"/>
    <s v="yes"/>
    <n v="2"/>
    <n v="13"/>
    <n v="15"/>
    <x v="13"/>
  </r>
  <r>
    <n v="347"/>
    <s v="GP"/>
    <x v="1"/>
    <x v="0"/>
    <s v="Rural"/>
    <s v="Greater than 3"/>
    <s v="Living together"/>
    <x v="3"/>
    <x v="3"/>
    <s v="teacher"/>
    <s v="services"/>
    <x v="3"/>
    <n v="0"/>
    <s v="no"/>
    <s v="no"/>
    <s v="no"/>
    <s v="yes"/>
    <s v="yes"/>
    <s v="yes"/>
    <n v="9"/>
    <n v="16"/>
    <n v="15"/>
    <x v="13"/>
  </r>
  <r>
    <n v="197"/>
    <s v="GP"/>
    <x v="1"/>
    <x v="1"/>
    <s v="Urban"/>
    <s v="Greater than 3"/>
    <s v="Living together"/>
    <x v="3"/>
    <x v="2"/>
    <s v="services"/>
    <s v="teacher"/>
    <x v="2"/>
    <n v="0"/>
    <s v="no"/>
    <s v="no"/>
    <s v="no"/>
    <s v="yes"/>
    <s v="yes"/>
    <s v="no"/>
    <n v="4"/>
    <n v="17"/>
    <n v="15"/>
    <x v="13"/>
  </r>
  <r>
    <n v="116"/>
    <s v="GP"/>
    <x v="1"/>
    <x v="3"/>
    <s v="Urban"/>
    <s v="Greater than 3"/>
    <s v="Living together"/>
    <x v="3"/>
    <x v="2"/>
    <s v="teacher"/>
    <s v="teacher"/>
    <x v="0"/>
    <n v="0"/>
    <s v="no"/>
    <s v="no"/>
    <s v="yes"/>
    <s v="yes"/>
    <s v="yes"/>
    <s v="no"/>
    <n v="2"/>
    <n v="15"/>
    <n v="15"/>
    <x v="13"/>
  </r>
  <r>
    <n v="392"/>
    <s v="MS"/>
    <x v="1"/>
    <x v="1"/>
    <s v="Urban"/>
    <s v="Less than or equal to 3"/>
    <s v="Living together"/>
    <x v="2"/>
    <x v="0"/>
    <s v="services"/>
    <s v="services"/>
    <x v="2"/>
    <n v="0"/>
    <s v="no"/>
    <s v="no"/>
    <s v="no"/>
    <s v="no"/>
    <s v="yes"/>
    <s v="no"/>
    <n v="3"/>
    <n v="14"/>
    <n v="16"/>
    <x v="13"/>
  </r>
  <r>
    <n v="327"/>
    <s v="GP"/>
    <x v="1"/>
    <x v="1"/>
    <s v="Urban"/>
    <s v="Greater than 3"/>
    <s v="Living together"/>
    <x v="2"/>
    <x v="3"/>
    <s v="other"/>
    <s v="services"/>
    <x v="2"/>
    <n v="0"/>
    <s v="no"/>
    <s v="no"/>
    <s v="yes"/>
    <s v="no"/>
    <s v="yes"/>
    <s v="no"/>
    <n v="3"/>
    <n v="14"/>
    <n v="15"/>
    <x v="13"/>
  </r>
  <r>
    <n v="223"/>
    <s v="GP"/>
    <x v="0"/>
    <x v="3"/>
    <s v="Urban"/>
    <s v="Greater than 3"/>
    <s v="Living together"/>
    <x v="1"/>
    <x v="3"/>
    <s v="services"/>
    <s v="teacher"/>
    <x v="0"/>
    <n v="0"/>
    <s v="yes"/>
    <s v="no"/>
    <s v="no"/>
    <s v="yes"/>
    <s v="yes"/>
    <s v="no"/>
    <n v="2"/>
    <n v="16"/>
    <n v="16"/>
    <x v="14"/>
  </r>
  <r>
    <n v="183"/>
    <s v="GP"/>
    <x v="0"/>
    <x v="1"/>
    <s v="Urban"/>
    <s v="Greater than 3"/>
    <s v="Living together"/>
    <x v="1"/>
    <x v="2"/>
    <s v="services"/>
    <s v="services"/>
    <x v="0"/>
    <n v="0"/>
    <s v="no"/>
    <s v="no"/>
    <s v="yes"/>
    <s v="yes"/>
    <s v="no"/>
    <s v="no"/>
    <n v="0"/>
    <n v="16"/>
    <n v="17"/>
    <x v="14"/>
  </r>
  <r>
    <n v="339"/>
    <s v="GP"/>
    <x v="0"/>
    <x v="0"/>
    <s v="Urban"/>
    <s v="Less than or equal to 3"/>
    <s v="Living together"/>
    <x v="2"/>
    <x v="3"/>
    <s v="services"/>
    <s v="services"/>
    <x v="1"/>
    <n v="0"/>
    <s v="no"/>
    <s v="no"/>
    <s v="no"/>
    <s v="yes"/>
    <s v="yes"/>
    <s v="no"/>
    <n v="7"/>
    <n v="16"/>
    <n v="15"/>
    <x v="14"/>
  </r>
  <r>
    <n v="32"/>
    <s v="GP"/>
    <x v="1"/>
    <x v="2"/>
    <s v="Urban"/>
    <s v="Greater than 3"/>
    <s v="Living together"/>
    <x v="3"/>
    <x v="2"/>
    <s v="services"/>
    <s v="services"/>
    <x v="0"/>
    <n v="0"/>
    <s v="no"/>
    <s v="no"/>
    <s v="yes"/>
    <s v="yes"/>
    <s v="yes"/>
    <s v="no"/>
    <n v="0"/>
    <n v="17"/>
    <n v="16"/>
    <x v="14"/>
  </r>
  <r>
    <n v="102"/>
    <s v="GP"/>
    <x v="1"/>
    <x v="3"/>
    <s v="Urban"/>
    <s v="Greater than 3"/>
    <s v="Living together"/>
    <x v="3"/>
    <x v="2"/>
    <s v="services"/>
    <s v="teacher"/>
    <x v="3"/>
    <n v="0"/>
    <s v="no"/>
    <s v="no"/>
    <s v="yes"/>
    <s v="yes"/>
    <s v="yes"/>
    <s v="yes"/>
    <n v="0"/>
    <n v="16"/>
    <n v="17"/>
    <x v="14"/>
  </r>
  <r>
    <n v="266"/>
    <s v="GP"/>
    <x v="1"/>
    <x v="0"/>
    <s v="Rural"/>
    <s v="Less than or equal to 3"/>
    <s v="Apart"/>
    <x v="2"/>
    <x v="2"/>
    <s v="other"/>
    <s v="other"/>
    <x v="0"/>
    <n v="0"/>
    <s v="no"/>
    <s v="yes"/>
    <s v="yes"/>
    <s v="yes"/>
    <s v="yes"/>
    <s v="no"/>
    <n v="13"/>
    <n v="17"/>
    <n v="17"/>
    <x v="14"/>
  </r>
  <r>
    <n v="261"/>
    <s v="GP"/>
    <x v="0"/>
    <x v="0"/>
    <s v="Urban"/>
    <s v="Greater than 3"/>
    <s v="Living together"/>
    <x v="3"/>
    <x v="3"/>
    <s v="services"/>
    <s v="other"/>
    <x v="0"/>
    <n v="0"/>
    <s v="no"/>
    <s v="yes"/>
    <s v="no"/>
    <s v="yes"/>
    <s v="yes"/>
    <s v="yes"/>
    <n v="21"/>
    <n v="17"/>
    <n v="18"/>
    <x v="15"/>
  </r>
  <r>
    <n v="294"/>
    <s v="GP"/>
    <x v="0"/>
    <x v="1"/>
    <s v="Rural"/>
    <s v="Less than or equal to 3"/>
    <s v="Living together"/>
    <x v="2"/>
    <x v="0"/>
    <s v="services"/>
    <s v="other"/>
    <x v="1"/>
    <n v="0"/>
    <s v="no"/>
    <s v="yes"/>
    <s v="no"/>
    <s v="yes"/>
    <s v="no"/>
    <s v="no"/>
    <n v="6"/>
    <n v="18"/>
    <n v="18"/>
    <x v="15"/>
  </r>
  <r>
    <n v="304"/>
    <s v="GP"/>
    <x v="0"/>
    <x v="1"/>
    <s v="Urban"/>
    <s v="Greater than 3"/>
    <s v="Living together"/>
    <x v="2"/>
    <x v="1"/>
    <s v="health"/>
    <s v="health"/>
    <x v="1"/>
    <n v="0"/>
    <s v="no"/>
    <s v="yes"/>
    <s v="yes"/>
    <s v="no"/>
    <s v="yes"/>
    <s v="no"/>
    <n v="0"/>
    <n v="17"/>
    <n v="17"/>
    <x v="15"/>
  </r>
  <r>
    <n v="199"/>
    <s v="GP"/>
    <x v="0"/>
    <x v="1"/>
    <s v="Urban"/>
    <s v="Greater than 3"/>
    <s v="Living together"/>
    <x v="3"/>
    <x v="2"/>
    <s v="services"/>
    <s v="teacher"/>
    <x v="2"/>
    <n v="1"/>
    <s v="no"/>
    <s v="no"/>
    <s v="no"/>
    <s v="yes"/>
    <s v="yes"/>
    <s v="no"/>
    <n v="24"/>
    <n v="18"/>
    <n v="18"/>
    <x v="15"/>
  </r>
  <r>
    <n v="92"/>
    <s v="GP"/>
    <x v="0"/>
    <x v="2"/>
    <s v="Urban"/>
    <s v="Greater than 3"/>
    <s v="Living together"/>
    <x v="3"/>
    <x v="3"/>
    <s v="services"/>
    <s v="other"/>
    <x v="2"/>
    <n v="0"/>
    <s v="no"/>
    <s v="yes"/>
    <s v="yes"/>
    <s v="yes"/>
    <s v="yes"/>
    <s v="no"/>
    <n v="4"/>
    <n v="16"/>
    <n v="17"/>
    <x v="15"/>
  </r>
  <r>
    <n v="246"/>
    <s v="GP"/>
    <x v="1"/>
    <x v="3"/>
    <s v="Urban"/>
    <s v="Greater than 3"/>
    <s v="Living together"/>
    <x v="1"/>
    <x v="0"/>
    <s v="other"/>
    <s v="other"/>
    <x v="2"/>
    <n v="0"/>
    <s v="no"/>
    <s v="no"/>
    <s v="no"/>
    <s v="yes"/>
    <s v="yes"/>
    <s v="no"/>
    <n v="6"/>
    <n v="18"/>
    <n v="18"/>
    <x v="15"/>
  </r>
  <r>
    <n v="43"/>
    <s v="GP"/>
    <x v="1"/>
    <x v="2"/>
    <s v="Urban"/>
    <s v="Greater than 3"/>
    <s v="Living together"/>
    <x v="3"/>
    <x v="2"/>
    <s v="services"/>
    <s v="teacher"/>
    <x v="0"/>
    <n v="0"/>
    <s v="no"/>
    <s v="no"/>
    <s v="yes"/>
    <s v="yes"/>
    <s v="yes"/>
    <s v="no"/>
    <n v="2"/>
    <n v="19"/>
    <n v="18"/>
    <x v="15"/>
  </r>
  <r>
    <n v="37"/>
    <s v="GP"/>
    <x v="1"/>
    <x v="2"/>
    <s v="Urban"/>
    <s v="Less than or equal to 3"/>
    <s v="Living together"/>
    <x v="3"/>
    <x v="3"/>
    <s v="teacher"/>
    <s v="services"/>
    <x v="3"/>
    <n v="0"/>
    <s v="no"/>
    <s v="no"/>
    <s v="yes"/>
    <s v="yes"/>
    <s v="yes"/>
    <s v="no"/>
    <n v="2"/>
    <n v="15"/>
    <n v="16"/>
    <x v="15"/>
  </r>
  <r>
    <n v="108"/>
    <s v="GP"/>
    <x v="1"/>
    <x v="3"/>
    <s v="Urban"/>
    <s v="Greater than 3"/>
    <s v="Living together"/>
    <x v="2"/>
    <x v="3"/>
    <s v="services"/>
    <s v="other"/>
    <x v="3"/>
    <n v="0"/>
    <s v="no"/>
    <s v="no"/>
    <s v="yes"/>
    <s v="yes"/>
    <s v="yes"/>
    <s v="no"/>
    <n v="2"/>
    <n v="16"/>
    <n v="18"/>
    <x v="15"/>
  </r>
  <r>
    <n v="307"/>
    <s v="GP"/>
    <x v="1"/>
    <x v="7"/>
    <s v="Urban"/>
    <s v="Greater than 3"/>
    <s v="Apart"/>
    <x v="2"/>
    <x v="1"/>
    <s v="services"/>
    <s v="other"/>
    <x v="2"/>
    <n v="0"/>
    <s v="no"/>
    <s v="no"/>
    <s v="yes"/>
    <s v="yes"/>
    <s v="no"/>
    <s v="no"/>
    <n v="0"/>
    <n v="17"/>
    <n v="18"/>
    <x v="15"/>
  </r>
  <r>
    <n v="105"/>
    <s v="GP"/>
    <x v="1"/>
    <x v="2"/>
    <s v="Urban"/>
    <s v="Greater than 3"/>
    <s v="Apart"/>
    <x v="2"/>
    <x v="2"/>
    <s v="services"/>
    <s v="other"/>
    <x v="0"/>
    <n v="0"/>
    <s v="no"/>
    <s v="yes"/>
    <s v="yes"/>
    <s v="yes"/>
    <s v="yes"/>
    <s v="no"/>
    <n v="0"/>
    <n v="16"/>
    <n v="18"/>
    <x v="15"/>
  </r>
  <r>
    <n v="130"/>
    <s v="GP"/>
    <x v="1"/>
    <x v="3"/>
    <s v="Rural"/>
    <s v="Greater than 3"/>
    <s v="Living together"/>
    <x v="3"/>
    <x v="2"/>
    <s v="teacher"/>
    <s v="teacher"/>
    <x v="2"/>
    <n v="0"/>
    <s v="no"/>
    <s v="yes"/>
    <s v="yes"/>
    <s v="yes"/>
    <s v="yes"/>
    <s v="no"/>
    <n v="8"/>
    <n v="18"/>
    <n v="18"/>
    <x v="15"/>
  </r>
  <r>
    <n v="287"/>
    <s v="GP"/>
    <x v="0"/>
    <x v="0"/>
    <s v="Urban"/>
    <s v="Greater than 3"/>
    <s v="Living together"/>
    <x v="1"/>
    <x v="1"/>
    <s v="at_home"/>
    <s v="at_home"/>
    <x v="3"/>
    <n v="0"/>
    <s v="no"/>
    <s v="yes"/>
    <s v="no"/>
    <s v="yes"/>
    <s v="yes"/>
    <s v="no"/>
    <n v="5"/>
    <n v="18"/>
    <n v="18"/>
    <x v="16"/>
  </r>
  <r>
    <n v="375"/>
    <s v="MS"/>
    <x v="0"/>
    <x v="0"/>
    <s v="Rural"/>
    <s v="Less than or equal to 3"/>
    <s v="Living together"/>
    <x v="3"/>
    <x v="2"/>
    <s v="other"/>
    <s v="other"/>
    <x v="3"/>
    <n v="0"/>
    <s v="no"/>
    <s v="no"/>
    <s v="no"/>
    <s v="yes"/>
    <s v="yes"/>
    <s v="no"/>
    <n v="0"/>
    <n v="19"/>
    <n v="18"/>
    <x v="16"/>
  </r>
  <r>
    <n v="114"/>
    <s v="GP"/>
    <x v="1"/>
    <x v="2"/>
    <s v="Urban"/>
    <s v="Less than or equal to 3"/>
    <s v="Living together"/>
    <x v="3"/>
    <x v="1"/>
    <s v="teacher"/>
    <s v="other"/>
    <x v="2"/>
    <n v="0"/>
    <s v="no"/>
    <s v="no"/>
    <s v="no"/>
    <s v="yes"/>
    <s v="yes"/>
    <s v="no"/>
    <n v="10"/>
    <n v="18"/>
    <n v="19"/>
    <x v="16"/>
  </r>
  <r>
    <n v="9"/>
    <s v="GP"/>
    <x v="1"/>
    <x v="2"/>
    <s v="Urban"/>
    <s v="Less than or equal to 3"/>
    <s v="Apart"/>
    <x v="2"/>
    <x v="1"/>
    <s v="services"/>
    <s v="other"/>
    <x v="0"/>
    <n v="0"/>
    <s v="no"/>
    <s v="yes"/>
    <s v="no"/>
    <s v="yes"/>
    <s v="yes"/>
    <s v="no"/>
    <n v="0"/>
    <n v="16"/>
    <n v="18"/>
    <x v="16"/>
  </r>
  <r>
    <n v="111"/>
    <s v="GP"/>
    <x v="1"/>
    <x v="2"/>
    <s v="Urban"/>
    <s v="Less than or equal to 3"/>
    <s v="Apart"/>
    <x v="3"/>
    <x v="2"/>
    <s v="teacher"/>
    <s v="teacher"/>
    <x v="2"/>
    <n v="0"/>
    <s v="no"/>
    <s v="no"/>
    <s v="yes"/>
    <s v="yes"/>
    <s v="yes"/>
    <s v="no"/>
    <n v="6"/>
    <n v="18"/>
    <n v="19"/>
    <x v="16"/>
  </r>
  <r>
    <n v="48"/>
    <s v="GP"/>
    <x v="1"/>
    <x v="3"/>
    <s v="Urban"/>
    <s v="Greater than 3"/>
    <s v="Living together"/>
    <x v="3"/>
    <x v="3"/>
    <s v="health"/>
    <s v="services"/>
    <x v="1"/>
    <n v="0"/>
    <s v="no"/>
    <s v="no"/>
    <s v="yes"/>
    <s v="yes"/>
    <s v="yes"/>
    <s v="no"/>
    <n v="4"/>
    <n v="19"/>
    <n v="19"/>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7E6C13-31D7-4B3E-A75A-05514A7F8290}" name="PivotTable5" cacheId="1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7:I13" firstHeaderRow="1" firstDataRow="2" firstDataCol="1" rowPageCount="1" colPageCount="1"/>
  <pivotFields count="23">
    <pivotField compact="0" outline="0" showAll="0"/>
    <pivotField compact="0" outline="0" showAll="0"/>
    <pivotField name="Gender" axis="axisCol" compact="0" outline="0" showAll="0">
      <items count="3">
        <item n="F Student" x="0"/>
        <item n="M Student" x="1"/>
        <item t="default"/>
      </items>
    </pivotField>
    <pivotField compact="0" outline="0" showAll="0"/>
    <pivotField compact="0" outline="0" showAll="0"/>
    <pivotField compact="0" outline="0" showAll="0"/>
    <pivotField compact="0" outline="0" showAll="0"/>
    <pivotField name="Mother Education" axis="axisRow" dataField="1" compact="0" outline="0" showAll="0">
      <items count="6">
        <item x="1"/>
        <item x="3"/>
        <item x="4"/>
        <item n="Primary Ed (4th Grade)" x="0"/>
        <item n="Secondary Ed (9th to 12th)"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Final Grade =" axis="axisPage" compact="0" outline="0" showAll="0">
      <items count="19">
        <item x="0"/>
        <item h="1" x="1"/>
        <item h="1" x="2"/>
        <item h="1" x="3"/>
        <item h="1" x="4"/>
        <item h="1" x="5"/>
        <item h="1" x="6"/>
        <item h="1" x="7"/>
        <item h="1" x="8"/>
        <item h="1" x="9"/>
        <item h="1" x="10"/>
        <item h="1" x="11"/>
        <item h="1" x="12"/>
        <item h="1" x="13"/>
        <item h="1" x="14"/>
        <item h="1" x="15"/>
        <item h="1" x="16"/>
        <item h="1" x="17"/>
        <item t="default"/>
      </items>
    </pivotField>
  </pivotFields>
  <rowFields count="1">
    <field x="7"/>
  </rowFields>
  <rowItems count="5">
    <i>
      <x/>
    </i>
    <i>
      <x v="1"/>
    </i>
    <i>
      <x v="3"/>
    </i>
    <i>
      <x v="4"/>
    </i>
    <i t="grand">
      <x/>
    </i>
  </rowItems>
  <colFields count="1">
    <field x="2"/>
  </colFields>
  <colItems count="3">
    <i>
      <x/>
    </i>
    <i>
      <x v="1"/>
    </i>
    <i t="grand">
      <x/>
    </i>
  </colItems>
  <pageFields count="1">
    <pageField fld="22" item="0" hier="-1"/>
  </pageFields>
  <dataFields count="1">
    <dataField name="Mother of Student Who Scored 0" fld="7" subtotal="count" showDataAs="percentOfCol" baseField="0" baseItem="429496729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B3A03A-121C-4CB6-8257-D2BF693F717F}" name="PivotTable9" cacheId="1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7:N13" firstHeaderRow="1" firstDataRow="2" firstDataCol="1" rowPageCount="1" colPageCount="1"/>
  <pivotFields count="23">
    <pivotField compact="0" outline="0" showAll="0"/>
    <pivotField compact="0" outline="0" showAll="0"/>
    <pivotField name="Gender" axis="axisCol" compact="0" outline="0" showAll="0">
      <items count="3">
        <item n="F Student" x="0"/>
        <item n="M Student" x="1"/>
        <item t="default"/>
      </items>
    </pivotField>
    <pivotField compact="0" outline="0" showAll="0"/>
    <pivotField compact="0" outline="0" showAll="0"/>
    <pivotField compact="0" outline="0" showAll="0"/>
    <pivotField compact="0" outline="0" showAll="0"/>
    <pivotField name="Mother Education" axis="axisRow" dataField="1" compact="0" outline="0" showAll="0">
      <items count="6">
        <item x="1"/>
        <item x="3"/>
        <item x="4"/>
        <item n="Primary Ed (4th Grade)" x="0"/>
        <item n="Secondary Ed (10th to 12th)"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Final Grade = " axis="axisPage" compact="0" outline="0" showAll="0">
      <items count="19">
        <item h="1" x="0"/>
        <item h="1" x="1"/>
        <item h="1" x="2"/>
        <item h="1" x="3"/>
        <item h="1" x="4"/>
        <item h="1" x="5"/>
        <item h="1" x="6"/>
        <item h="1" x="7"/>
        <item x="8"/>
        <item h="1" x="9"/>
        <item h="1" x="10"/>
        <item h="1" x="11"/>
        <item h="1" x="12"/>
        <item h="1" x="13"/>
        <item h="1" x="14"/>
        <item h="1" x="15"/>
        <item h="1" x="16"/>
        <item h="1" x="17"/>
        <item t="default"/>
      </items>
    </pivotField>
  </pivotFields>
  <rowFields count="1">
    <field x="7"/>
  </rowFields>
  <rowItems count="5">
    <i>
      <x/>
    </i>
    <i>
      <x v="1"/>
    </i>
    <i>
      <x v="3"/>
    </i>
    <i>
      <x v="4"/>
    </i>
    <i t="grand">
      <x/>
    </i>
  </rowItems>
  <colFields count="1">
    <field x="2"/>
  </colFields>
  <colItems count="3">
    <i>
      <x/>
    </i>
    <i>
      <x v="1"/>
    </i>
    <i t="grand">
      <x/>
    </i>
  </colItems>
  <pageFields count="1">
    <pageField fld="22" item="8" hier="-1"/>
  </pageFields>
  <dataFields count="1">
    <dataField name="Mother of Student Who Scored 11" fld="7" subtotal="count" showDataAs="percentOfCol" baseField="0" baseItem="429496729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824FB7-648B-4A58-A422-8A164BB91EB7}" name="PivotTable2" cacheId="1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21:I27" firstHeaderRow="1" firstDataRow="2" firstDataCol="1" rowPageCount="1" colPageCount="1"/>
  <pivotFields count="23">
    <pivotField compact="0" outline="0" showAll="0"/>
    <pivotField compact="0" outline="0" showAll="0"/>
    <pivotField name="Gender" axis="axisCol" compact="0" outline="0" showAll="0">
      <items count="3">
        <item n="F Student" x="0"/>
        <item n="M Student" x="1"/>
        <item t="default"/>
      </items>
    </pivotField>
    <pivotField compact="0" outline="0" showAll="0"/>
    <pivotField compact="0" outline="0" showAll="0"/>
    <pivotField compact="0" outline="0" showAll="0"/>
    <pivotField compact="0" outline="0" showAll="0"/>
    <pivotField compact="0" outline="0" showAll="0">
      <items count="6">
        <item x="1"/>
        <item x="3"/>
        <item x="4"/>
        <item x="0"/>
        <item x="2"/>
        <item t="default"/>
      </items>
    </pivotField>
    <pivotField name="Father Education" axis="axisRow" dataField="1" compact="0" outline="0" showAll="0">
      <items count="6">
        <item x="1"/>
        <item n="Higher Ed " x="2"/>
        <item x="4"/>
        <item n="Primary Ed (4th Grade)" x="0"/>
        <item n="Secondary Ed (10th to 12th)"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Final Grade = " axis="axisPage" compact="0" outline="0" showAll="0">
      <items count="19">
        <item x="0"/>
        <item h="1" x="1"/>
        <item h="1" x="2"/>
        <item h="1" x="3"/>
        <item h="1" x="4"/>
        <item h="1" x="5"/>
        <item h="1" x="6"/>
        <item h="1" x="7"/>
        <item h="1" x="8"/>
        <item h="1" x="9"/>
        <item h="1" x="10"/>
        <item h="1" x="11"/>
        <item h="1" x="12"/>
        <item h="1" x="13"/>
        <item h="1" x="14"/>
        <item h="1" x="15"/>
        <item h="1" x="16"/>
        <item h="1" x="17"/>
        <item t="default"/>
      </items>
    </pivotField>
  </pivotFields>
  <rowFields count="1">
    <field x="8"/>
  </rowFields>
  <rowItems count="5">
    <i>
      <x/>
    </i>
    <i>
      <x v="1"/>
    </i>
    <i>
      <x v="3"/>
    </i>
    <i>
      <x v="4"/>
    </i>
    <i t="grand">
      <x/>
    </i>
  </rowItems>
  <colFields count="1">
    <field x="2"/>
  </colFields>
  <colItems count="3">
    <i>
      <x/>
    </i>
    <i>
      <x v="1"/>
    </i>
    <i t="grand">
      <x/>
    </i>
  </colItems>
  <pageFields count="1">
    <pageField fld="22" item="0" hier="-1"/>
  </pageFields>
  <dataFields count="1">
    <dataField name="Count of Father Education" fld="8" subtotal="count" showDataAs="percentOfCol" baseField="0" baseItem="429496729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6570CD-FBE3-4D68-82E5-65EA48FDA5F0}" name="PivotTable1" cacheId="1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6:D13" firstHeaderRow="1" firstDataRow="2" firstDataCol="1"/>
  <pivotFields count="23">
    <pivotField compact="0" outline="0" showAll="0"/>
    <pivotField compact="0" outline="0" showAll="0"/>
    <pivotField name="Gender" axis="axisCol" compact="0" outline="0" showAll="0">
      <items count="3">
        <item n="F Student" x="0"/>
        <item n="M Student" x="1"/>
        <item t="default"/>
      </items>
    </pivotField>
    <pivotField compact="0" outline="0" showAll="0">
      <items count="9">
        <item x="2"/>
        <item x="3"/>
        <item x="1"/>
        <item x="0"/>
        <item x="4"/>
        <item x="7"/>
        <item x="5"/>
        <item x="6"/>
        <item t="default"/>
      </items>
    </pivotField>
    <pivotField compact="0" outline="0" showAll="0"/>
    <pivotField compact="0" outline="0" showAll="0"/>
    <pivotField compact="0" outline="0" showAll="0"/>
    <pivotField name="Mother Education" axis="axisRow" dataField="1" compact="0" outline="0" showAll="0" sortType="descending">
      <items count="6">
        <item n="Secondary Ed. (9th to 12th)" x="2"/>
        <item n="Primary Ed. (Up to 4th)" x="0"/>
        <item n="No Education" x="4"/>
        <item n="Higher Education" x="3"/>
        <item x="1"/>
        <item t="default"/>
      </items>
    </pivotField>
    <pivotField compact="0" outline="0" showAll="0">
      <items count="6">
        <item x="1"/>
        <item x="2"/>
        <item x="4"/>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6">
    <i>
      <x/>
    </i>
    <i>
      <x v="1"/>
    </i>
    <i>
      <x v="2"/>
    </i>
    <i>
      <x v="3"/>
    </i>
    <i>
      <x v="4"/>
    </i>
    <i t="grand">
      <x/>
    </i>
  </rowItems>
  <colFields count="1">
    <field x="2"/>
  </colFields>
  <colItems count="3">
    <i>
      <x/>
    </i>
    <i>
      <x v="1"/>
    </i>
    <i t="grand">
      <x/>
    </i>
  </colItems>
  <dataFields count="1">
    <dataField name="Mother of student's educaton" fld="7" subtotal="count" showDataAs="percentOfCol" baseField="0" baseItem="429496729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08A4F5-CFB1-44DC-8781-25EC9E49CF9F}" name="PivotTable6" cacheId="1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1:D28" firstHeaderRow="1" firstDataRow="2" firstDataCol="1"/>
  <pivotFields count="23">
    <pivotField compact="0" outline="0" showAll="0"/>
    <pivotField compact="0" outline="0" showAll="0"/>
    <pivotField name="Gender" axis="axisCol" compact="0" outline="0" showAll="0">
      <items count="3">
        <item n="F Student" x="0"/>
        <item n="M Student" x="1"/>
        <item t="default"/>
      </items>
    </pivotField>
    <pivotField compact="0" outline="0" showAll="0"/>
    <pivotField compact="0" outline="0" showAll="0"/>
    <pivotField compact="0" outline="0" showAll="0"/>
    <pivotField compact="0" outline="0" showAll="0"/>
    <pivotField compact="0" outline="0" showAll="0"/>
    <pivotField name="Father Education" axis="axisRow" dataField="1" compact="0" outline="0" showAll="0" sortType="descending">
      <items count="6">
        <item n="Secondary Ed (9th to 12th)" x="3"/>
        <item n="Primary Ed (up to 4th)" x="0"/>
        <item n="No Education" x="4"/>
        <item n="Higher Education" x="2"/>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6">
    <i>
      <x/>
    </i>
    <i>
      <x v="1"/>
    </i>
    <i>
      <x v="2"/>
    </i>
    <i>
      <x v="3"/>
    </i>
    <i>
      <x v="4"/>
    </i>
    <i t="grand">
      <x/>
    </i>
  </rowItems>
  <colFields count="1">
    <field x="2"/>
  </colFields>
  <colItems count="3">
    <i>
      <x/>
    </i>
    <i>
      <x v="1"/>
    </i>
    <i t="grand">
      <x/>
    </i>
  </colItems>
  <dataFields count="1">
    <dataField name="Count of Father Education (Total Students)" fld="8" subtotal="count" showDataAs="percentOfCol" baseField="0" baseItem="429496729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E1C39D-C811-47B7-9794-6FB6C603151B}" name="PivotTable10" cacheId="1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P7:R10" firstHeaderRow="1" firstDataRow="2" firstDataCol="1" rowPageCount="1" colPageCount="1"/>
  <pivotFields count="23">
    <pivotField compact="0" outline="0" showAll="0"/>
    <pivotField compact="0" outline="0" showAll="0"/>
    <pivotField name="Gender" axis="axisCol" compact="0" outline="0" showAll="0">
      <items count="3">
        <item n="F Student" x="0"/>
        <item n="M Student" x="1"/>
        <item t="default"/>
      </items>
    </pivotField>
    <pivotField compact="0" outline="0" showAll="0"/>
    <pivotField compact="0" outline="0" showAll="0"/>
    <pivotField compact="0" outline="0" showAll="0"/>
    <pivotField compact="0" outline="0" showAll="0"/>
    <pivotField name="Mother Education" axis="axisRow" dataField="1" compact="0" outline="0" showAll="0">
      <items count="6">
        <item x="1"/>
        <item x="3"/>
        <item x="4"/>
        <item n="Primary Ed (4th Grade)" x="0"/>
        <item n="Secondary Ed (10th to 12th)"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Final Grade = " axis="axisPage" compact="0" outline="0" showAll="0">
      <items count="19">
        <item h="1" x="0"/>
        <item h="1" x="1"/>
        <item h="1" x="2"/>
        <item h="1" x="3"/>
        <item h="1" x="4"/>
        <item h="1" x="5"/>
        <item h="1" x="6"/>
        <item h="1" x="7"/>
        <item h="1" x="8"/>
        <item h="1" x="9"/>
        <item h="1" x="10"/>
        <item h="1" x="11"/>
        <item h="1" x="12"/>
        <item h="1" x="13"/>
        <item h="1" x="14"/>
        <item h="1" x="15"/>
        <item h="1" x="16"/>
        <item x="17"/>
        <item t="default"/>
      </items>
    </pivotField>
  </pivotFields>
  <rowFields count="1">
    <field x="7"/>
  </rowFields>
  <rowItems count="2">
    <i>
      <x v="1"/>
    </i>
    <i t="grand">
      <x/>
    </i>
  </rowItems>
  <colFields count="1">
    <field x="2"/>
  </colFields>
  <colItems count="2">
    <i>
      <x v="1"/>
    </i>
    <i t="grand">
      <x/>
    </i>
  </colItems>
  <pageFields count="1">
    <pageField fld="22" item="17" hier="-1"/>
  </pageFields>
  <dataFields count="1">
    <dataField name="Mother of Student Who Scored 20" fld="7" subtotal="count" showDataAs="percentOfCol" baseField="0" baseItem="429496729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B93BE4-2EFE-4BFA-BD17-17CF1DBD883A}" name="PivotTable7" cacheId="1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P21:R24" firstHeaderRow="1" firstDataRow="2" firstDataCol="1" rowPageCount="1" colPageCount="1"/>
  <pivotFields count="23">
    <pivotField compact="0" outline="0" showAll="0"/>
    <pivotField compact="0" outline="0" showAll="0"/>
    <pivotField name="Gender" axis="axisCol" compact="0" outline="0" showAll="0">
      <items count="3">
        <item n="F Student" x="0"/>
        <item n="M Student" x="1"/>
        <item t="default"/>
      </items>
    </pivotField>
    <pivotField compact="0" outline="0" showAll="0"/>
    <pivotField compact="0" outline="0" showAll="0"/>
    <pivotField compact="0" outline="0" showAll="0"/>
    <pivotField compact="0" outline="0" showAll="0"/>
    <pivotField compact="0" outline="0" showAll="0">
      <items count="6">
        <item x="1"/>
        <item x="3"/>
        <item x="4"/>
        <item x="0"/>
        <item x="2"/>
        <item t="default"/>
      </items>
    </pivotField>
    <pivotField name="Father Education" axis="axisRow" dataField="1" compact="0" outline="0" showAll="0">
      <items count="6">
        <item x="1"/>
        <item n="Higher Ed " x="2"/>
        <item x="4"/>
        <item n="Primary Ed (4th Grade)" x="0"/>
        <item n="Secondary Ed (10th to 12th)"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Final Grade = " axis="axisPage" compact="0" outline="0" showAll="0">
      <items count="19">
        <item h="1" x="0"/>
        <item h="1" x="1"/>
        <item h="1" x="2"/>
        <item h="1" x="3"/>
        <item h="1" x="4"/>
        <item h="1" x="5"/>
        <item h="1" x="6"/>
        <item h="1" x="7"/>
        <item h="1" x="8"/>
        <item h="1" x="9"/>
        <item h="1" x="10"/>
        <item h="1" x="11"/>
        <item h="1" x="12"/>
        <item h="1" x="13"/>
        <item h="1" x="14"/>
        <item h="1" x="15"/>
        <item h="1" x="16"/>
        <item x="17"/>
        <item t="default"/>
      </items>
    </pivotField>
  </pivotFields>
  <rowFields count="1">
    <field x="8"/>
  </rowFields>
  <rowItems count="2">
    <i>
      <x v="4"/>
    </i>
    <i t="grand">
      <x/>
    </i>
  </rowItems>
  <colFields count="1">
    <field x="2"/>
  </colFields>
  <colItems count="2">
    <i>
      <x v="1"/>
    </i>
    <i t="grand">
      <x/>
    </i>
  </colItems>
  <pageFields count="1">
    <pageField fld="22" item="17" hier="-1"/>
  </pageFields>
  <dataFields count="1">
    <dataField name="Count of Father Ed (Max)" fld="8" subtotal="count" showDataAs="percentOfCol" baseField="0" baseItem="429496729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29C318-C908-4A77-B02A-9DC6A9826F51}" name="PivotTable4" cacheId="1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21:N27" firstHeaderRow="1" firstDataRow="2" firstDataCol="1" rowPageCount="1" colPageCount="1"/>
  <pivotFields count="23">
    <pivotField compact="0" outline="0" showAll="0"/>
    <pivotField compact="0" outline="0" showAll="0"/>
    <pivotField name="Gender" axis="axisCol" compact="0" outline="0" showAll="0">
      <items count="3">
        <item n="F Student" x="0"/>
        <item n="M Student" x="1"/>
        <item t="default"/>
      </items>
    </pivotField>
    <pivotField compact="0" outline="0" showAll="0"/>
    <pivotField compact="0" outline="0" showAll="0"/>
    <pivotField compact="0" outline="0" showAll="0"/>
    <pivotField compact="0" outline="0" showAll="0"/>
    <pivotField compact="0" outline="0" showAll="0">
      <items count="6">
        <item x="1"/>
        <item x="3"/>
        <item x="4"/>
        <item x="0"/>
        <item x="2"/>
        <item t="default"/>
      </items>
    </pivotField>
    <pivotField name="Father Education" axis="axisRow" dataField="1" compact="0" outline="0" showAll="0">
      <items count="6">
        <item x="1"/>
        <item n="Higher Ed " x="2"/>
        <item x="4"/>
        <item n="Primary Ed (4th Grade)" x="0"/>
        <item n="Secondary Ed (10th to 12th)"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Final Grade = " axis="axisPage" compact="0" outline="0" showAll="0">
      <items count="19">
        <item h="1" x="0"/>
        <item h="1" x="1"/>
        <item h="1" x="2"/>
        <item h="1" x="3"/>
        <item h="1" x="4"/>
        <item h="1" x="5"/>
        <item h="1" x="6"/>
        <item h="1" x="7"/>
        <item x="8"/>
        <item h="1" x="9"/>
        <item h="1" x="10"/>
        <item h="1" x="11"/>
        <item h="1" x="12"/>
        <item h="1" x="13"/>
        <item h="1" x="14"/>
        <item h="1" x="15"/>
        <item h="1" x="16"/>
        <item h="1" x="17"/>
        <item t="default"/>
      </items>
    </pivotField>
  </pivotFields>
  <rowFields count="1">
    <field x="8"/>
  </rowFields>
  <rowItems count="5">
    <i>
      <x/>
    </i>
    <i>
      <x v="1"/>
    </i>
    <i>
      <x v="3"/>
    </i>
    <i>
      <x v="4"/>
    </i>
    <i t="grand">
      <x/>
    </i>
  </rowItems>
  <colFields count="1">
    <field x="2"/>
  </colFields>
  <colItems count="3">
    <i>
      <x/>
    </i>
    <i>
      <x v="1"/>
    </i>
    <i t="grand">
      <x/>
    </i>
  </colItems>
  <pageFields count="1">
    <pageField fld="22" item="8" hier="-1"/>
  </pageFields>
  <dataFields count="1">
    <dataField name="Count of Father Ed (Median)" fld="8" subtotal="count" showDataAs="percentOfCol" baseField="0" baseItem="429496729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A3E0E4-B3E4-47D7-A073-2744AEA02CD0}" name="PivotTable3" cacheId="1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2:E49" firstHeaderRow="1" firstDataRow="2" firstDataCol="2" rowPageCount="1" colPageCount="1"/>
  <pivotFields count="23">
    <pivotField compact="0" outline="0" showAll="0"/>
    <pivotField compact="0" outline="0" showAll="0"/>
    <pivotField name="Gender" axis="axisCol" compact="0" outline="0" showAll="0">
      <items count="3">
        <item n="F Student" x="0"/>
        <item n="M Student" x="1"/>
        <item t="default"/>
      </items>
    </pivotField>
    <pivotField compact="0" outline="0" showAll="0"/>
    <pivotField compact="0" outline="0" showAll="0"/>
    <pivotField compact="0" outline="0" showAll="0"/>
    <pivotField compact="0" outline="0" showAll="0"/>
    <pivotField name=" The Mother's education of the same student" axis="axisRow" compact="0" outline="0" showAll="0">
      <items count="6">
        <item x="1"/>
        <item x="3"/>
        <item x="4"/>
        <item n="Primary Ed (4th Grade)" x="0"/>
        <item n="Secondary Ed (10th to 12th)" x="2"/>
        <item t="default"/>
      </items>
    </pivotField>
    <pivotField name="Father Education" axis="axisRow" dataField="1" compact="0" outline="0" showAll="0">
      <items count="6">
        <item x="1"/>
        <item n="Higher Ed " x="2"/>
        <item x="4"/>
        <item n="Primary Ed (4th Grade)" x="0"/>
        <item n="Secondary Ed (10th to 12th)"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Final Grade = " axis="axisPage" compact="0" outline="0" showAll="0">
      <items count="19">
        <item x="0"/>
        <item h="1" x="1"/>
        <item h="1" x="2"/>
        <item h="1" x="3"/>
        <item h="1" x="4"/>
        <item h="1" x="5"/>
        <item h="1" x="6"/>
        <item h="1" x="7"/>
        <item h="1" x="8"/>
        <item h="1" x="9"/>
        <item h="1" x="10"/>
        <item h="1" x="11"/>
        <item h="1" x="12"/>
        <item h="1" x="13"/>
        <item h="1" x="14"/>
        <item h="1" x="15"/>
        <item h="1" x="16"/>
        <item h="1" x="17"/>
        <item t="default"/>
      </items>
    </pivotField>
  </pivotFields>
  <rowFields count="2">
    <field x="8"/>
    <field x="7"/>
  </rowFields>
  <rowItems count="16">
    <i>
      <x/>
      <x/>
    </i>
    <i r="1">
      <x v="3"/>
    </i>
    <i r="1">
      <x v="4"/>
    </i>
    <i t="default">
      <x/>
    </i>
    <i>
      <x v="1"/>
      <x v="1"/>
    </i>
    <i r="1">
      <x v="4"/>
    </i>
    <i t="default">
      <x v="1"/>
    </i>
    <i>
      <x v="3"/>
      <x/>
    </i>
    <i r="1">
      <x v="3"/>
    </i>
    <i t="default">
      <x v="3"/>
    </i>
    <i>
      <x v="4"/>
      <x/>
    </i>
    <i r="1">
      <x v="1"/>
    </i>
    <i r="1">
      <x v="3"/>
    </i>
    <i r="1">
      <x v="4"/>
    </i>
    <i t="default">
      <x v="4"/>
    </i>
    <i t="grand">
      <x/>
    </i>
  </rowItems>
  <colFields count="1">
    <field x="2"/>
  </colFields>
  <colItems count="3">
    <i>
      <x/>
    </i>
    <i>
      <x v="1"/>
    </i>
    <i t="grand">
      <x/>
    </i>
  </colItems>
  <pageFields count="1">
    <pageField fld="22" item="0" hier="-1"/>
  </pageFields>
  <dataFields count="1">
    <dataField name="Count of Father Education" fld="8" subtotal="count" baseField="0" baseItem="4294967295"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D56DEBC-AC4D-402E-9B08-A54C5348B42E}" name="Table71638" displayName="Table71638" ref="A5:G10" totalsRowShown="0">
  <autoFilter ref="A5:G10" xr:uid="{9D56DEBC-AC4D-402E-9B08-A54C5348B42E}"/>
  <tableColumns count="7">
    <tableColumn id="1" xr3:uid="{F62A3D5B-D699-4685-8A8C-3D917F754A76}" name="Time"/>
    <tableColumn id="2" xr3:uid="{F7CB6FF2-CC5E-4CB3-B31F-CBC9CA6F5F41}" name="Male"/>
    <tableColumn id="3" xr3:uid="{2F3A4D35-95C6-4857-A40A-3B753E86868C}" name="Female"/>
    <tableColumn id="4" xr3:uid="{5E94B9E4-1E32-41AB-9C6F-5B1C8F6D128B}" name="Total" dataDxfId="88"/>
    <tableColumn id="5" xr3:uid="{89A659B4-F089-41E3-A6A9-B34892820458}" name="Male %" dataDxfId="87"/>
    <tableColumn id="6" xr3:uid="{943F20DB-8FBC-47F3-81C5-3C951899BD11}" name="Female %" dataDxfId="86"/>
    <tableColumn id="7" xr3:uid="{AA153DCE-3EE6-49C5-BDFE-EDBA6BEB0D20}" name="Total %" dataDxfId="8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906EB42-27C7-4960-8E02-2AB6125B681A}" name="Table20" displayName="Table20" ref="A35:G41" totalsRowShown="0">
  <autoFilter ref="A35:G41" xr:uid="{3906EB42-27C7-4960-8E02-2AB6125B681A}"/>
  <tableColumns count="7">
    <tableColumn id="1" xr3:uid="{41A15288-747E-4273-9EEE-D648DA6982A6}" name="Career"/>
    <tableColumn id="2" xr3:uid="{A268B8D5-E52A-45E9-B392-36AFC332FD52}" name="Males"/>
    <tableColumn id="3" xr3:uid="{E262270C-B891-4793-B465-4792B4E46670}" name="Females"/>
    <tableColumn id="4" xr3:uid="{36B0C69F-1581-420C-A3B7-D7B7D501CDC9}" name="Total">
      <calculatedColumnFormula>C36 + B36</calculatedColumnFormula>
    </tableColumn>
    <tableColumn id="5" xr3:uid="{68AC3148-5A91-44DB-8318-67EE81018F3C}" name="Male %" dataDxfId="56"/>
    <tableColumn id="6" xr3:uid="{CF736E62-1155-4074-A77B-975ECEE70EA2}" name="Female %" dataDxfId="55"/>
    <tableColumn id="7" xr3:uid="{01CCFFE2-8BB3-4DC2-A545-3B4742A86E55}" name="Total %" dataDxfId="5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E6AD949-874F-4B32-9A74-7BDC01E30739}" name="father_ed_min" displayName="father_ed_min" ref="A50:G56" totalsRowShown="0">
  <autoFilter ref="A50:G56" xr:uid="{2E6AD949-874F-4B32-9A74-7BDC01E30739}"/>
  <tableColumns count="7">
    <tableColumn id="1" xr3:uid="{F60BC964-E062-4849-89E0-EE692EBEA219}" name="Education"/>
    <tableColumn id="2" xr3:uid="{CA1F749A-DFF9-4308-9058-71A05D60091D}" name="Males"/>
    <tableColumn id="3" xr3:uid="{C3C1F39E-0764-43AE-94F2-027B4F3E4880}" name="Females"/>
    <tableColumn id="4" xr3:uid="{0DA4B7C2-10AA-4B20-BF33-44CDAD82E9F3}" name="Total">
      <calculatedColumnFormula>C51 + B51</calculatedColumnFormula>
    </tableColumn>
    <tableColumn id="5" xr3:uid="{4696F06E-0FA7-4EA5-891F-22B6F1494442}" name="Male %" dataDxfId="53"/>
    <tableColumn id="6" xr3:uid="{369E7B10-307F-44E9-BA62-B508F4398020}" name="Female %" dataDxfId="52"/>
    <tableColumn id="7" xr3:uid="{C9133AB7-63C9-4585-9C6C-68D29C2A94BF}" name="Total %" dataDxfId="5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F65BB6B-0D4B-4EBC-837F-EE5029182D01}" name="mother_ed_min" displayName="mother_ed_min" ref="A65:G71" totalsRowShown="0">
  <autoFilter ref="A65:G71" xr:uid="{8F65BB6B-0D4B-4EBC-837F-EE5029182D01}"/>
  <tableColumns count="7">
    <tableColumn id="1" xr3:uid="{A6B66DF9-AA97-4FC1-BBDD-19A655B89BCF}" name="Education"/>
    <tableColumn id="2" xr3:uid="{3778B8FE-1746-4A2C-ACEA-BB66D84B44E1}" name="Males"/>
    <tableColumn id="3" xr3:uid="{7DCFC622-1D89-4A4B-A382-ECB6CC0535C9}" name="Females"/>
    <tableColumn id="4" xr3:uid="{00FD78AF-7F20-4600-81C5-F55AED5DB4BA}" name="Total">
      <calculatedColumnFormula>C66 + B66</calculatedColumnFormula>
    </tableColumn>
    <tableColumn id="5" xr3:uid="{7E467A62-95E3-45FF-95EA-7427B5ABB79F}" name="Male %" dataDxfId="50"/>
    <tableColumn id="6" xr3:uid="{C042FE8D-783D-49D5-B50C-AFFD41C79DCC}" name="Female %" dataDxfId="49"/>
    <tableColumn id="7" xr3:uid="{CD19BF1F-DA0C-404F-9FCD-4C22E4670315}" name="Total %" dataDxfId="4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3200691-8994-4E59-99EE-8E3D74447670}" name="Table23" displayName="Table23" ref="A80:G98" totalsRowShown="0">
  <autoFilter ref="A80:G98" xr:uid="{93200691-8994-4E59-99EE-8E3D74447670}"/>
  <tableColumns count="7">
    <tableColumn id="1" xr3:uid="{796F8D0E-CA1F-4485-8A0E-43342BE31047}" name="Stats"/>
    <tableColumn id="2" xr3:uid="{43CA8FBC-8753-4F70-B004-15FCBA458DF1}" name="Males"/>
    <tableColumn id="3" xr3:uid="{D963C859-1F59-4767-BF5A-875CB03B893B}" name="Females"/>
    <tableColumn id="4" xr3:uid="{9F9E3517-88AA-491F-859E-132513987A91}" name="Total"/>
    <tableColumn id="5" xr3:uid="{E297A33F-B5B3-4106-BED9-FF3579E4A89C}" name="Male %"/>
    <tableColumn id="6" xr3:uid="{77E2B559-17D5-4064-BF77-EC96CA6E62D3}" name="Female %"/>
    <tableColumn id="7" xr3:uid="{E785BE14-A589-4F7E-BFC9-42362C25454C}" name="Total %"/>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8D8FEA2-417C-4112-9EE6-D527E009BFDA}" name="Table1225" displayName="Table1225" ref="A5:G10" totalsRowShown="0">
  <autoFilter ref="A5:G10" xr:uid="{58D8FEA2-417C-4112-9EE6-D527E009BFDA}"/>
  <tableColumns count="7">
    <tableColumn id="1" xr3:uid="{CB186591-EF74-4901-BB73-9069993D5924}" name="Time"/>
    <tableColumn id="2" xr3:uid="{01F165E4-A555-461E-80C1-69ACBD537E4B}" name="Males"/>
    <tableColumn id="3" xr3:uid="{9085C23E-30D3-4216-8FD3-25108E407F9A}" name="Females"/>
    <tableColumn id="4" xr3:uid="{B95A572C-BE9E-4DE1-844F-76CCC692322E}" name="Total">
      <calculatedColumnFormula>Table1225[[#This Row],[Males]] + Table1225[[#This Row],[Females]]</calculatedColumnFormula>
    </tableColumn>
    <tableColumn id="5" xr3:uid="{6AC94B6C-BAD4-49C4-866B-BB16AAC95CFB}" name="Male %" dataDxfId="47"/>
    <tableColumn id="6" xr3:uid="{C4EACA0D-EEC8-465D-8450-76B83429066E}" name="Female %" dataDxfId="46"/>
    <tableColumn id="7" xr3:uid="{1D34DD4E-49DE-4E20-BECC-3BC4FBF920A4}" name=" Total %" dataDxfId="4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E963799-1317-4B8A-B537-5BAD82B92E29}" name="Table1926" displayName="Table1926" ref="A20:G26" totalsRowShown="0">
  <autoFilter ref="A20:G26" xr:uid="{9E963799-1317-4B8A-B537-5BAD82B92E29}"/>
  <tableColumns count="7">
    <tableColumn id="1" xr3:uid="{0FB4ADBF-3698-4F1B-8734-6379791E97DE}" name="Career"/>
    <tableColumn id="2" xr3:uid="{1227DB98-11BF-437B-9DB5-027DB8CD6F31}" name="Males"/>
    <tableColumn id="3" xr3:uid="{64CE5F9E-2B05-4FF2-9B66-FB91A5BE3DA5}" name="Females"/>
    <tableColumn id="4" xr3:uid="{E5E1019D-B9F0-4667-A99E-7F929320A3F2}" name="Total">
      <calculatedColumnFormula>Table1926[[#This Row],[Males]] + Table1926[[#This Row],[Females]]</calculatedColumnFormula>
    </tableColumn>
    <tableColumn id="5" xr3:uid="{68B6E65B-D635-437E-AFF3-DC7ABADD8D8F}" name="Male %" dataDxfId="44"/>
    <tableColumn id="6" xr3:uid="{3071CAC1-63B6-4835-B918-EF4E983B11FE}" name="Female %" dataDxfId="43">
      <calculatedColumnFormula>10/29</calculatedColumnFormula>
    </tableColumn>
    <tableColumn id="7" xr3:uid="{CB2E1447-7D59-499B-9EA5-458D7641EDBB}" name="Total %" dataDxfId="4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0E64E52-0325-4507-9E73-3D1484E6F635}" name="Table2027" displayName="Table2027" ref="A35:G41" totalsRowShown="0">
  <autoFilter ref="A35:G41" xr:uid="{80E64E52-0325-4507-9E73-3D1484E6F635}"/>
  <tableColumns count="7">
    <tableColumn id="1" xr3:uid="{74299CC1-0673-4F16-91CE-902D8C7169E8}" name="Career"/>
    <tableColumn id="2" xr3:uid="{D072321F-5B10-4304-ABAC-9281B16ED25D}" name="Males"/>
    <tableColumn id="3" xr3:uid="{EFC6DB76-DA47-4421-BDD9-37348510CFF8}" name="Females"/>
    <tableColumn id="4" xr3:uid="{236676D0-FCB0-4DFF-9E25-E7514253F8C2}" name="Total">
      <calculatedColumnFormula>Table2027[[#This Row],[Males]] + Table2027[[#This Row],[Females]]</calculatedColumnFormula>
    </tableColumn>
    <tableColumn id="5" xr3:uid="{41205613-39BF-4DF6-900E-92BDA8FD37B4}" name="Male %" dataDxfId="41"/>
    <tableColumn id="6" xr3:uid="{A94E518C-F34B-44EB-A9B8-E8B0B25F81BC}" name="Female %" dataDxfId="40"/>
    <tableColumn id="7" xr3:uid="{E03CC5C6-C71B-4F65-B5F8-5AE25DE00950}" name="Total %" dataDxfId="3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095C3D7-3675-4424-98A7-96869E46A20D}" name="father_ed_med" displayName="father_ed_med" ref="A50:G56" totalsRowShown="0">
  <autoFilter ref="A50:G56" xr:uid="{9095C3D7-3675-4424-98A7-96869E46A20D}"/>
  <tableColumns count="7">
    <tableColumn id="1" xr3:uid="{A6C99977-AB99-4974-BEBB-F8620919FB8B}" name="Education"/>
    <tableColumn id="2" xr3:uid="{2C816589-E78F-4EBD-AB70-43C1838AC9EF}" name="Males"/>
    <tableColumn id="3" xr3:uid="{37391EB1-1D89-46A5-AE48-1B0F4FE609D0}" name="Females"/>
    <tableColumn id="4" xr3:uid="{232988E3-8355-430B-A025-B85132B61C14}" name="Total">
      <calculatedColumnFormula>father_ed_med[[#This Row],[Males]] + father_ed_med[[#This Row],[Females]]</calculatedColumnFormula>
    </tableColumn>
    <tableColumn id="5" xr3:uid="{0DC97DFE-7341-46FE-9FAC-032272E1CD54}" name="Male %" dataDxfId="38"/>
    <tableColumn id="6" xr3:uid="{B28F2A69-4604-404E-B10F-B42093FBEFC9}" name="Female %" dataDxfId="37"/>
    <tableColumn id="7" xr3:uid="{3B0F51AF-2C98-47B6-926A-68778054000E}" name="Total %" dataDxfId="3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43AAB8F-E68B-43E5-AC9B-E03D16223D2D}" name="mother_ed_med" displayName="mother_ed_med" ref="A65:G71" totalsRowShown="0">
  <autoFilter ref="A65:G71" xr:uid="{943AAB8F-E68B-43E5-AC9B-E03D16223D2D}"/>
  <tableColumns count="7">
    <tableColumn id="1" xr3:uid="{81FDB851-03AE-4334-9A9A-B8EE49E51AAC}" name="Education"/>
    <tableColumn id="2" xr3:uid="{04979D72-AE41-4AED-A3AF-648E20977949}" name="Males"/>
    <tableColumn id="3" xr3:uid="{713142B3-CCE9-4F44-9846-470BBD25B01D}" name="Females"/>
    <tableColumn id="4" xr3:uid="{40B75577-24E7-40C5-BC56-08378E40A7D9}" name="Total">
      <calculatedColumnFormula>C66 + B66</calculatedColumnFormula>
    </tableColumn>
    <tableColumn id="5" xr3:uid="{9E647E1F-20CC-40AD-8686-FC628C868E97}" name="Male %" dataDxfId="35">
      <calculatedColumnFormula>3/18</calculatedColumnFormula>
    </tableColumn>
    <tableColumn id="6" xr3:uid="{D8EE8AB7-33FB-4741-9789-24593C6249B7}" name="Female %" dataDxfId="34">
      <calculatedColumnFormula>4/39</calculatedColumnFormula>
    </tableColumn>
    <tableColumn id="7" xr3:uid="{8FAB02EF-F973-4DA9-A93C-3B4DC5986C89}" name="Total %" dataDxfId="3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80043D6-203D-4C9A-8459-E858C5FE9269}" name="Table2330" displayName="Table2330" ref="A80:G98" totalsRowShown="0">
  <autoFilter ref="A80:G98" xr:uid="{580043D6-203D-4C9A-8459-E858C5FE9269}"/>
  <tableColumns count="7">
    <tableColumn id="1" xr3:uid="{E1EF4ECB-9825-40FE-824B-8335E11820E7}" name="Stats"/>
    <tableColumn id="2" xr3:uid="{42E3A538-5684-40C5-B215-F19E56C9EA1C}" name="Males"/>
    <tableColumn id="3" xr3:uid="{7BA5BF57-FD32-491A-B069-913624C118BE}" name="Females"/>
    <tableColumn id="4" xr3:uid="{D8B230E8-4C2B-46EA-8FB9-E97F1BC51F27}" name="Total"/>
    <tableColumn id="5" xr3:uid="{85DC3AF5-5EF3-49EB-81B4-C3A4192BB0ED}" name="Male %"/>
    <tableColumn id="6" xr3:uid="{DA0B31F7-B68D-4D93-8281-E73785F450AC}" name="Female %"/>
    <tableColumn id="7" xr3:uid="{3859196D-55E1-4982-ADB2-28CC796ADCE0}" name="Total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41B5255-5703-4C6A-BC4C-FDE7FB8A2490}" name="Table61539" displayName="Table61539" ref="A20:G26" totalsRowShown="0" headerRowDxfId="84">
  <autoFilter ref="A20:G26" xr:uid="{E41B5255-5703-4C6A-BC4C-FDE7FB8A2490}"/>
  <tableColumns count="7">
    <tableColumn id="1" xr3:uid="{26F53254-8F1B-438E-B1EC-E400E3B6FD35}" name="Career"/>
    <tableColumn id="2" xr3:uid="{DB8C527D-6F20-44CC-84E9-4777A0C5DE13}" name="Male"/>
    <tableColumn id="3" xr3:uid="{C886CF30-1E91-4B6A-8587-9A96BF09C3C9}" name="Female"/>
    <tableColumn id="4" xr3:uid="{3DB37C32-B84F-4653-8AE0-F7690A667611}" name="Total"/>
    <tableColumn id="5" xr3:uid="{AF48985C-324C-41A9-B8E5-69F53989EE6E}" name="M % of Total" dataDxfId="83"/>
    <tableColumn id="6" xr3:uid="{636B4E1F-8A5D-4DEA-90A6-5579CC157FE3}" name="F % of Total" dataDxfId="82"/>
    <tableColumn id="7" xr3:uid="{96DA815E-2C60-4057-9551-4B73DAA9BEF2}" name="Total %" dataDxfId="81">
      <calculatedColumnFormula>D21/395</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E4534F03-E7CE-4470-AB19-D1A2A5EA27B9}" name="Table31" displayName="Table31" ref="A23:B28" totalsRowShown="0">
  <autoFilter ref="A23:B28" xr:uid="{E4534F03-E7CE-4470-AB19-D1A2A5EA27B9}"/>
  <tableColumns count="2">
    <tableColumn id="1" xr3:uid="{4242AF13-7E9B-4BE8-8399-B125496342F6}" name="Time"/>
    <tableColumn id="2" xr3:uid="{29A4A173-BBD4-46A3-9FB4-D87F74CE6E09}" name="Mal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54C9647-37F3-4640-A833-FFE76FB454FE}" name="Table32" displayName="Table32" ref="A5:B11" totalsRowShown="0">
  <autoFilter ref="A5:B11" xr:uid="{054C9647-37F3-4640-A833-FFE76FB454FE}"/>
  <tableColumns count="2">
    <tableColumn id="1" xr3:uid="{DAFF5C74-1C5F-451C-9608-2CD0A45C4FBF}" name="Career"/>
    <tableColumn id="2" xr3:uid="{5C3E2B24-E633-48E6-8EEA-18F352E0A2DF}" name="Males"/>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B421D64C-02A6-41EC-A4B9-68DD1DF1451D}" name="Table33" displayName="Table33" ref="G5:H23" totalsRowShown="0">
  <autoFilter ref="G5:H23" xr:uid="{B421D64C-02A6-41EC-A4B9-68DD1DF1451D}"/>
  <tableColumns count="2">
    <tableColumn id="1" xr3:uid="{6CA34B19-EF6B-413E-87D5-088BFC6CCA51}" name="Stats"/>
    <tableColumn id="2" xr3:uid="{F25A2BA0-D0B0-4D71-BB3F-2A83E0B73B5D}" name="Males"/>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56E3DA2-D13F-4E43-8B3E-FB4088EE9DCB}" name="Table34" displayName="Table34" ref="D5:E11" totalsRowShown="0">
  <autoFilter ref="D5:E11" xr:uid="{856E3DA2-D13F-4E43-8B3E-FB4088EE9DCB}"/>
  <tableColumns count="2">
    <tableColumn id="1" xr3:uid="{B080B6A6-9AFA-4B4D-9548-BA4F82A8AA09}" name="Career"/>
    <tableColumn id="2" xr3:uid="{9C65B29C-12B3-4809-9AC7-E5DA3D2B638D}" name="Male"/>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4FC1667-EDC1-45AC-97DB-BB2DCBF0E9E7}" name="Table35" displayName="Table35" ref="A14:B20" totalsRowShown="0">
  <autoFilter ref="A14:B20" xr:uid="{C4FC1667-EDC1-45AC-97DB-BB2DCBF0E9E7}"/>
  <tableColumns count="2">
    <tableColumn id="1" xr3:uid="{664EB4FA-3A19-4EA6-A868-34DF0B861A8F}" name="Education"/>
    <tableColumn id="2" xr3:uid="{580F040B-E366-43E0-BDED-785318D40985}" name="Mal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5F70524-BEA7-4C53-B189-E9C9B6ECD448}" name="Table36" displayName="Table36" ref="D14:E20" totalsRowShown="0">
  <autoFilter ref="D14:E20" xr:uid="{35F70524-BEA7-4C53-B189-E9C9B6ECD448}"/>
  <tableColumns count="2">
    <tableColumn id="1" xr3:uid="{9EE62DCE-40B7-43B8-AD40-F5D90CFDACB1}" name="Education"/>
    <tableColumn id="2" xr3:uid="{A791E153-26CF-4512-9D8F-65D1B14913A9}" name="Male"/>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A77421-4753-4AD5-A113-1373090D9C83}" name="Table123" displayName="Table123" ref="A8:G13" totalsRowShown="0">
  <autoFilter ref="A8:G13" xr:uid="{63A77421-4753-4AD5-A113-1373090D9C83}"/>
  <tableColumns count="7">
    <tableColumn id="1" xr3:uid="{29D79B79-0E6D-46BC-9B1A-A60391E0B233}" name="Time"/>
    <tableColumn id="2" xr3:uid="{87363A56-BB3C-4152-AD04-3CD937F306AA}" name="Males"/>
    <tableColumn id="3" xr3:uid="{BF9AE4C7-6AF5-469D-98BE-62E88F1A61FE}" name="Females"/>
    <tableColumn id="4" xr3:uid="{8DC1A916-3C24-4E21-ABBA-5C200ACA3ABE}" name="Total"/>
    <tableColumn id="5" xr3:uid="{3E3A54C8-31B2-43C1-A7E5-170ECD0610C6}" name="Male %" dataDxfId="32"/>
    <tableColumn id="6" xr3:uid="{01D8E48C-96E4-4B44-AC0A-6CC09EFAB587}" name="Female %" dataDxfId="31"/>
    <tableColumn id="7" xr3:uid="{050940A0-9E8F-4CB5-865A-03C5CDCCF6C2}" name=" Total %" dataDxfId="30"/>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7C2147-1AA6-4D07-B7A8-4FBDF70203CE}" name="Table12254" displayName="Table12254" ref="I8:O13" totalsRowShown="0">
  <autoFilter ref="I8:O13" xr:uid="{6D7C2147-1AA6-4D07-B7A8-4FBDF70203CE}"/>
  <tableColumns count="7">
    <tableColumn id="1" xr3:uid="{9B6F3280-240F-4414-90FA-8212A6949298}" name="Time"/>
    <tableColumn id="2" xr3:uid="{4760CA9D-F4AB-4597-9AE5-BB40DEAF3BF8}" name="Males"/>
    <tableColumn id="3" xr3:uid="{B8E83C47-6243-476E-9D88-AB4AD84BE3A0}" name="Females"/>
    <tableColumn id="4" xr3:uid="{138C7A2F-BD71-43E6-9ABD-D300CCDCA7E3}" name="Total">
      <calculatedColumnFormula>Table12254[[#This Row],[Males]] + Table12254[[#This Row],[Females]]</calculatedColumnFormula>
    </tableColumn>
    <tableColumn id="5" xr3:uid="{72EDBAD4-7708-49CD-9599-DA5778A91EB0}" name="Male %" dataDxfId="29"/>
    <tableColumn id="6" xr3:uid="{239A19F0-6016-46B5-BB3E-1473B834395B}" name="Female %" dataDxfId="28"/>
    <tableColumn id="7" xr3:uid="{604AE521-4650-4252-A097-B100281DE7E8}" name=" Total %" dataDxfId="2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D64F40-1E97-4E9D-B504-EA86C9FEA3F4}" name="Table315" displayName="Table315" ref="Q8:R13" totalsRowShown="0">
  <autoFilter ref="Q8:R13" xr:uid="{B1D64F40-1E97-4E9D-B504-EA86C9FEA3F4}"/>
  <tableColumns count="2">
    <tableColumn id="1" xr3:uid="{0C63C692-F23E-4377-AC10-684BBBAC8F73}" name="Time"/>
    <tableColumn id="2" xr3:uid="{E916435B-9369-4AAC-97E4-B684C2906ABD}" name="Mal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FA5669-40AF-4B81-86BF-B28D987D3DF7}" name="Table216" displayName="Table216" ref="A46:G52" totalsRowShown="0">
  <autoFilter ref="A46:G52" xr:uid="{CAFA5669-40AF-4B81-86BF-B28D987D3DF7}"/>
  <tableColumns count="7">
    <tableColumn id="1" xr3:uid="{6867077C-54B5-48F1-A3E8-E1BD85B479EB}" name="Education"/>
    <tableColumn id="2" xr3:uid="{5F8138A9-4B4C-4643-A6F6-05AEAA05F3B2}" name="Males"/>
    <tableColumn id="3" xr3:uid="{396B4F76-1D12-47D5-8294-8507CE2E4DE2}" name="Females"/>
    <tableColumn id="4" xr3:uid="{4FA998FC-B146-4345-B69D-2E5216F74190}" name="Total">
      <calculatedColumnFormula>C47 + B47</calculatedColumnFormula>
    </tableColumn>
    <tableColumn id="5" xr3:uid="{A0165964-895A-4CF1-A513-2C894B31057C}" name="Male %" dataDxfId="26"/>
    <tableColumn id="6" xr3:uid="{75C36E02-8B72-4555-ACB9-91F978046CDA}" name="Female %" dataDxfId="25"/>
    <tableColumn id="7" xr3:uid="{2EDCD917-6D82-40C8-AE1C-A10556E69F70}" name="Total %"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A4DB626-86F0-4FBC-9D76-4632541A0019}" name="Table51440" displayName="Table51440" ref="A35:G41" totalsRowShown="0" headerRowDxfId="80" headerRowBorderDxfId="78" tableBorderDxfId="79">
  <autoFilter ref="A35:G41" xr:uid="{7A4DB626-86F0-4FBC-9D76-4632541A0019}"/>
  <tableColumns count="7">
    <tableColumn id="1" xr3:uid="{1CBFDD60-7A1E-469D-AB17-4062E7A1E9B2}" name="Career"/>
    <tableColumn id="2" xr3:uid="{387F754D-4049-4B46-B190-1674EFAEC1C6}" name="Male"/>
    <tableColumn id="3" xr3:uid="{A2077C9F-760B-4369-9DE1-E4C798CACD0C}" name="Female"/>
    <tableColumn id="4" xr3:uid="{84BC3461-C3A3-4A99-B423-71FC24A7D72C}" name="Total">
      <calculatedColumnFormula>SUM(B36:C36)</calculatedColumnFormula>
    </tableColumn>
    <tableColumn id="5" xr3:uid="{87EBA752-0D2A-4478-BFD4-D40DCED9CEBF}" name="M % of Total" dataDxfId="77"/>
    <tableColumn id="6" xr3:uid="{D68853E3-1F12-4A1C-BB30-1216ECB49122}" name="F % of Total" dataDxfId="76"/>
    <tableColumn id="7" xr3:uid="{E39B0AE0-361A-4608-89C9-285AC66586E7}" name="Total %" dataDxfId="75">
      <calculatedColumnFormula>D36/395</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442FD3B-F5F3-4092-9984-4FE61D6F52CA}" name="Table7" displayName="Table7" ref="J1:P5" totalsRowShown="0">
  <autoFilter ref="J1:P5" xr:uid="{7442FD3B-F5F3-4092-9984-4FE61D6F52CA}"/>
  <tableColumns count="7">
    <tableColumn id="1" xr3:uid="{CF56D9FA-AFB5-433C-A1DC-480D4227CC3D}" name="Range"/>
    <tableColumn id="2" xr3:uid="{DAA43460-D18E-4274-B31D-8559238243A5}" name="Males"/>
    <tableColumn id="3" xr3:uid="{59D610BB-93F9-4B1C-A806-EFCA07BF1AFA}" name="Females"/>
    <tableColumn id="4" xr3:uid="{42337865-BBCF-449F-8C7C-1BF97459D647}" name="Total"/>
    <tableColumn id="5" xr3:uid="{415BA891-59D5-4769-8604-C02FDF55BF10}" name="Males % " dataDxfId="23"/>
    <tableColumn id="6" xr3:uid="{070C32B5-806D-488D-BD0C-D0D0C2D9D5AA}" name="Females %" dataDxfId="22"/>
    <tableColumn id="7" xr3:uid="{270A0C7B-1F96-43D2-BBE0-35C0A9E02021}" name="Total %" dataDxfId="21"/>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BA10EC-CA33-4B3D-A3D3-717DD231F796}" name="Table21287" displayName="Table21287" ref="I46:O52" totalsRowShown="0">
  <autoFilter ref="I46:O52" xr:uid="{D1BA10EC-CA33-4B3D-A3D3-717DD231F796}"/>
  <tableColumns count="7">
    <tableColumn id="1" xr3:uid="{40FE82A4-1D3D-4630-901D-0842ACD8826D}" name="Education"/>
    <tableColumn id="2" xr3:uid="{03A7F3D4-EDDD-4390-A648-26CD5199F214}" name="Males"/>
    <tableColumn id="3" xr3:uid="{FB5370E5-A5C1-4F5C-921B-EB22428F2EB7}" name="Females"/>
    <tableColumn id="4" xr3:uid="{D1626B5A-4945-4DA6-9932-26F6060FD6AD}" name="Total">
      <calculatedColumnFormula>Table21287[[#This Row],[Males]] + Table21287[[#This Row],[Females]]</calculatedColumnFormula>
    </tableColumn>
    <tableColumn id="5" xr3:uid="{4CE5C114-7737-406D-8865-270BEFF23FF2}" name="Male %" dataDxfId="20"/>
    <tableColumn id="6" xr3:uid="{CBF49A36-F114-471E-9D72-1845FF02C2B8}" name="Female %" dataDxfId="19"/>
    <tableColumn id="7" xr3:uid="{9B16D612-F850-4B94-81F5-505CE5D9FBE5}" name="Total %" dataDxfId="18"/>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EE8A055-33E9-4CA8-8EE5-921F6DD4B0CE}" name="Table359" displayName="Table359" ref="Q46:R52" totalsRowShown="0">
  <autoFilter ref="Q46:R52" xr:uid="{AEE8A055-33E9-4CA8-8EE5-921F6DD4B0CE}"/>
  <tableColumns count="2">
    <tableColumn id="1" xr3:uid="{A11EB5DB-15E0-4345-A2C3-3CCB0D878C97}" name="Education"/>
    <tableColumn id="2" xr3:uid="{82AA725F-0802-4DB6-B5F0-2B2D51C00B16}" name="Male"/>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5DFF381-F274-4E9E-82A0-4CC7230CD281}" name="Table2210" displayName="Table2210" ref="A84:G90" totalsRowShown="0">
  <autoFilter ref="A84:G90" xr:uid="{95DFF381-F274-4E9E-82A0-4CC7230CD281}"/>
  <tableColumns count="7">
    <tableColumn id="1" xr3:uid="{7EA10774-9A6D-4AB9-A3CF-27C89A2FA1BF}" name="Education"/>
    <tableColumn id="2" xr3:uid="{0F80B454-5789-433B-8D64-47A70BC1C465}" name="Males"/>
    <tableColumn id="3" xr3:uid="{70963D68-AB6A-472A-B852-47D94A7593DA}" name="Females"/>
    <tableColumn id="4" xr3:uid="{C4BA5396-B5D8-4FFC-AAB7-09A537740060}" name="Total">
      <calculatedColumnFormula>C85 + B85</calculatedColumnFormula>
    </tableColumn>
    <tableColumn id="5" xr3:uid="{21547ADC-88EA-4A3F-8838-B46180F0474F}" name="Male %" dataDxfId="17"/>
    <tableColumn id="6" xr3:uid="{1F2DFBF4-A05F-47D5-8182-38A34C488F0A}" name="Female %" dataDxfId="16"/>
    <tableColumn id="7" xr3:uid="{CDBAAAE4-B899-401D-B69F-B4B87282ACFD}" name="Total %" dataDxfId="15"/>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D4A0C3C-4691-4A4E-8C97-F1EAA463A806}" name="Table222911" displayName="Table222911" ref="I84:O90" totalsRowShown="0">
  <autoFilter ref="I84:O90" xr:uid="{AD4A0C3C-4691-4A4E-8C97-F1EAA463A806}"/>
  <tableColumns count="7">
    <tableColumn id="1" xr3:uid="{00577B2B-906E-4B43-A292-A8EC9597F7A9}" name="Education"/>
    <tableColumn id="2" xr3:uid="{B07A84A6-E79E-4A96-93AD-F6BCCB5599D1}" name="Males"/>
    <tableColumn id="3" xr3:uid="{7E24F54D-4DA5-4467-A428-48D3E7CCE2EC}" name="Females"/>
    <tableColumn id="4" xr3:uid="{16008167-D4C1-4D56-AC92-350B3F602845}" name="Total">
      <calculatedColumnFormula>K85 + J85</calculatedColumnFormula>
    </tableColumn>
    <tableColumn id="5" xr3:uid="{47CF979E-E2C0-45D7-B1D8-9CF480787A3A}" name="Male %" dataDxfId="14">
      <calculatedColumnFormula>3/18</calculatedColumnFormula>
    </tableColumn>
    <tableColumn id="6" xr3:uid="{8882EB92-1185-449B-AF5F-F0F227B9C249}" name="Female %" dataDxfId="13">
      <calculatedColumnFormula>4/39</calculatedColumnFormula>
    </tableColumn>
    <tableColumn id="7" xr3:uid="{560FABA6-AD1D-4173-BA90-D39EAF5464A3}" name="Total %" dataDxfId="12"/>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D66F65F-65C6-482D-80E7-2D48C3208769}" name="Table3614" displayName="Table3614" ref="Q84:R90" totalsRowShown="0">
  <autoFilter ref="Q84:R90" xr:uid="{1D66F65F-65C6-482D-80E7-2D48C3208769}"/>
  <tableColumns count="2">
    <tableColumn id="1" xr3:uid="{1100D9ED-E745-44DF-8C42-4A8382D4E6ED}" name="Education"/>
    <tableColumn id="2" xr3:uid="{23901867-7802-437F-A48F-5213283F3250}" name="Male"/>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0BA862F-F607-4A3B-BE86-86CFE6ED6B4C}" name="Table1915" displayName="Table1915" ref="A122:G128" totalsRowShown="0">
  <autoFilter ref="A122:G128" xr:uid="{30BA862F-F607-4A3B-BE86-86CFE6ED6B4C}"/>
  <tableColumns count="7">
    <tableColumn id="1" xr3:uid="{057A2A2F-17AF-49BE-92CE-D9AA55980779}" name="Career"/>
    <tableColumn id="2" xr3:uid="{C6E9861D-D0D5-49F3-BC7F-292A848D9415}" name="Males"/>
    <tableColumn id="3" xr3:uid="{89576BE7-8506-4299-B6D6-02DF856294F4}" name="Females"/>
    <tableColumn id="4" xr3:uid="{E29D06E8-53E0-4772-B9E7-D4C2F69E4B85}" name="Total">
      <calculatedColumnFormula>C123 + B123</calculatedColumnFormula>
    </tableColumn>
    <tableColumn id="5" xr3:uid="{E525E13F-36FF-41F7-ABF3-1BCBD6F148F9}" name="Male %" dataDxfId="11"/>
    <tableColumn id="6" xr3:uid="{8EB10566-CE21-43E9-95BD-35C1A6D64C3A}" name="Female %" dataDxfId="10"/>
    <tableColumn id="7" xr3:uid="{FCA71ACF-C0EA-4BF4-BFAD-DD7A4F1F3A79}" name="Total %" dataDxfId="9"/>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4105157-6B62-4CEB-AD0B-3B526CBDFB15}" name="Table192616" displayName="Table192616" ref="I122:O128" totalsRowShown="0">
  <autoFilter ref="I122:O128" xr:uid="{B4105157-6B62-4CEB-AD0B-3B526CBDFB15}"/>
  <tableColumns count="7">
    <tableColumn id="1" xr3:uid="{B28CF2A3-F754-4331-B584-994E4180A129}" name="Career"/>
    <tableColumn id="2" xr3:uid="{3FB30D67-65F1-4408-9AC1-2D85C589CE8A}" name="Males"/>
    <tableColumn id="3" xr3:uid="{0B6BC9CD-567A-4D1B-B87F-C63A308D6EB1}" name="Females"/>
    <tableColumn id="4" xr3:uid="{19B11A00-1BD3-487B-8CDD-4FBF69D827C8}" name="Total">
      <calculatedColumnFormula>Table192616[[#This Row],[Males]] + Table192616[[#This Row],[Females]]</calculatedColumnFormula>
    </tableColumn>
    <tableColumn id="5" xr3:uid="{03A32A45-1ABC-4DD1-AE5F-4FFBCBBBFE91}" name="Male %" dataDxfId="8"/>
    <tableColumn id="6" xr3:uid="{6080AB3C-94AC-4A19-B9D2-2E3C3E5FE611}" name="Female %" dataDxfId="7">
      <calculatedColumnFormula>10/29</calculatedColumnFormula>
    </tableColumn>
    <tableColumn id="7" xr3:uid="{A13A4E47-0786-4634-964E-B1630BA095F8}" name="Total %" dataDxfId="6"/>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85B3E1D-6863-42DB-9873-887E7DA84F93}" name="Table3217" displayName="Table3217" ref="Q122:R128" totalsRowShown="0">
  <autoFilter ref="Q122:R128" xr:uid="{485B3E1D-6863-42DB-9873-887E7DA84F93}"/>
  <tableColumns count="2">
    <tableColumn id="1" xr3:uid="{C60AF86D-8270-4D3A-B5C9-9EE9E5D92603}" name="Career"/>
    <tableColumn id="2" xr3:uid="{AF4A3076-5DDD-4444-9441-A2E33E87521C}" name="Males"/>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070E18-DADC-446E-B91E-DB18AAEDEA59}" name="Table2012" displayName="Table2012" ref="A160:G166" totalsRowShown="0">
  <autoFilter ref="A160:G166" xr:uid="{39070E18-DADC-446E-B91E-DB18AAEDEA59}"/>
  <tableColumns count="7">
    <tableColumn id="1" xr3:uid="{B59CC529-440F-4545-ABCB-B862EC74A0A1}" name="Career"/>
    <tableColumn id="2" xr3:uid="{F1828457-FA4B-42DA-B2EF-108BBF0D9432}" name="Males"/>
    <tableColumn id="3" xr3:uid="{39BA07CE-C770-4A97-B883-9B8E1101F2A7}" name="Females"/>
    <tableColumn id="4" xr3:uid="{4D06BC97-8A59-43D7-842C-6AB6C70BB79D}" name="Total">
      <calculatedColumnFormula>C161 + B161</calculatedColumnFormula>
    </tableColumn>
    <tableColumn id="5" xr3:uid="{F4A15584-2D2F-46B9-9CBB-B9C3B8C40A80}" name="Male %" dataDxfId="5"/>
    <tableColumn id="6" xr3:uid="{9D41811A-FE86-48C8-9A8A-7A1FEE3887C9}" name="Female %" dataDxfId="4"/>
    <tableColumn id="7" xr3:uid="{3302E32A-7E36-4543-A82D-75D740378573}" name="Total %"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46795BA5-D982-41BD-848C-DE01D4E79285}" name="Table31241" displayName="Table31241" ref="A50:G56" totalsRowShown="0">
  <autoFilter ref="A50:G56" xr:uid="{46795BA5-D982-41BD-848C-DE01D4E79285}"/>
  <tableColumns count="7">
    <tableColumn id="1" xr3:uid="{87403B5D-C8D2-49D1-8BCF-4F6A5B9B2546}" name="Education"/>
    <tableColumn id="2" xr3:uid="{9F873127-D943-4FF6-8148-09ED5DC0A2BF}" name="Male"/>
    <tableColumn id="3" xr3:uid="{96C46F18-F7FA-4793-8F88-1591EBF88DD5}" name="Female"/>
    <tableColumn id="4" xr3:uid="{A71F0CB7-913F-475E-8E64-2450968783A6}" name="Total"/>
    <tableColumn id="5" xr3:uid="{3B304D18-CCAC-494A-A8B4-4EE070485A0D}" name="M % of Total" dataDxfId="74">
      <calculatedColumnFormula>B51/187</calculatedColumnFormula>
    </tableColumn>
    <tableColumn id="6" xr3:uid="{C17159C8-3FA1-4650-9601-5F1F00792DE3}" name="F % of Total" dataDxfId="73">
      <calculatedColumnFormula>C51/208</calculatedColumnFormula>
    </tableColumn>
    <tableColumn id="7" xr3:uid="{51F2F0E2-016C-4E6E-9001-2AC09DB2D04F}" name="Total %" dataDxfId="72"/>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A1E57E9-19E6-4EE2-8737-7C785E085293}" name="Table202718" displayName="Table202718" ref="I160:O166" totalsRowShown="0">
  <autoFilter ref="I160:O166" xr:uid="{5A1E57E9-19E6-4EE2-8737-7C785E085293}"/>
  <tableColumns count="7">
    <tableColumn id="1" xr3:uid="{379C64EC-2908-4764-AC16-3261CA92C272}" name="Career"/>
    <tableColumn id="2" xr3:uid="{8160D5A0-020C-4A59-938E-BABB04508FDF}" name="Males"/>
    <tableColumn id="3" xr3:uid="{BCBB60CE-755F-468E-A26F-BAB4F8083136}" name="Females"/>
    <tableColumn id="4" xr3:uid="{41E61DD1-9C8D-4995-A9BD-858BDC922623}" name="Total">
      <calculatedColumnFormula>Table202718[[#This Row],[Males]] + Table202718[[#This Row],[Females]]</calculatedColumnFormula>
    </tableColumn>
    <tableColumn id="5" xr3:uid="{1DCEB207-ECDD-4041-A4BF-47BC556042FA}" name="Male %" dataDxfId="2"/>
    <tableColumn id="6" xr3:uid="{0807D0BF-5EB4-40CD-A3F6-234539A6CAF1}" name="Female %" dataDxfId="1"/>
    <tableColumn id="7" xr3:uid="{68D98CB0-8261-4576-96D7-782C7329592F}" name="Total %" dataDxfId="0"/>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BCDCCE5-E5EA-470C-8B90-6147DF7E892F}" name="Table3419" displayName="Table3419" ref="Q160:R166" totalsRowShown="0">
  <autoFilter ref="Q160:R166" xr:uid="{8BCDCCE5-E5EA-470C-8B90-6147DF7E892F}"/>
  <tableColumns count="2">
    <tableColumn id="1" xr3:uid="{0FE77322-D3DF-4D02-B65C-BAF398C9F7C3}" name="Career"/>
    <tableColumn id="2" xr3:uid="{3B16F169-69F9-4293-812B-FE7CAD63D054}" name="Male"/>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8C14F6A-7CE0-4168-B933-E7840E51DE8E}" name="Table2331" displayName="Table2331" ref="A198:G213" totalsRowShown="0">
  <autoFilter ref="A198:G213" xr:uid="{18C14F6A-7CE0-4168-B933-E7840E51DE8E}"/>
  <tableColumns count="7">
    <tableColumn id="1" xr3:uid="{196DC0BD-FF5C-4218-8DA4-5AD79E5FCA6B}" name="Stats"/>
    <tableColumn id="2" xr3:uid="{8AA79230-1212-458D-9738-242B38865AE8}" name="Males"/>
    <tableColumn id="3" xr3:uid="{791BD453-9594-404B-99B1-63A0E27EF939}" name="Females"/>
    <tableColumn id="4" xr3:uid="{BC82ECA0-79EE-46A4-9E54-CFE3F9631ACF}" name="Total"/>
    <tableColumn id="5" xr3:uid="{21D6B868-B789-4871-ACEF-32219660F425}" name="Male %"/>
    <tableColumn id="6" xr3:uid="{B71A3B20-BC80-4587-8DA1-841E32425FD8}" name="Female %"/>
    <tableColumn id="7" xr3:uid="{9730A912-22C7-49FC-A5A5-23BC10A02FE6}" name="Total %"/>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1833424D-23E3-44B6-BB40-B54ECF7ADE3B}" name="Table3346" displayName="Table3346" ref="Q198:R213" totalsRowShown="0">
  <autoFilter ref="Q198:R213" xr:uid="{1833424D-23E3-44B6-BB40-B54ECF7ADE3B}"/>
  <tableColumns count="2">
    <tableColumn id="1" xr3:uid="{62D3A44D-DB7B-4548-80E8-ABE9EE6AD6F6}" name="Stats"/>
    <tableColumn id="2" xr3:uid="{A56A4794-59AE-460D-8EC5-EB86BBB5A239}" name="Males"/>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42F9441F-28C9-422A-AB3C-679A3CFA36F4}" name="Table233045" displayName="Table233045" ref="I198:O213" totalsRowShown="0">
  <autoFilter ref="I198:O213" xr:uid="{42F9441F-28C9-422A-AB3C-679A3CFA36F4}"/>
  <tableColumns count="7">
    <tableColumn id="1" xr3:uid="{05519C98-045B-4D64-A5B4-DBDD300F3DFD}" name="Stats"/>
    <tableColumn id="2" xr3:uid="{6B842DB1-D3C9-4786-A844-A452F4E4F175}" name="Males"/>
    <tableColumn id="3" xr3:uid="{820DE0F3-3485-49EC-B6BF-3EADA60EF94A}" name="Females"/>
    <tableColumn id="4" xr3:uid="{FB008EB6-1907-4030-8CBE-1A44A3D98D8A}" name="Total"/>
    <tableColumn id="5" xr3:uid="{8277EC61-4C11-42B8-A94D-D0E6BF6BEB8C}" name="Male %"/>
    <tableColumn id="6" xr3:uid="{A0E927FF-4A67-4AA1-AB94-5D87B703B99E}" name="Female %"/>
    <tableColumn id="7" xr3:uid="{880E6854-B50C-4939-9767-13102A7AE68B}" name="Total %"/>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396" totalsRowShown="0">
  <autoFilter ref="A1:W396" xr:uid="{00000000-0009-0000-0100-000001000000}"/>
  <sortState xmlns:xlrd2="http://schemas.microsoft.com/office/spreadsheetml/2017/richdata2" ref="A2:W396">
    <sortCondition ref="W1:W396"/>
  </sortState>
  <tableColumns count="23">
    <tableColumn id="1" xr3:uid="{00000000-0010-0000-0000-000001000000}" name="student_id"/>
    <tableColumn id="2" xr3:uid="{00000000-0010-0000-0000-000002000000}" name="school"/>
    <tableColumn id="3" xr3:uid="{00000000-0010-0000-0000-000003000000}" name="sex"/>
    <tableColumn id="4" xr3:uid="{00000000-0010-0000-0000-000004000000}" name="age"/>
    <tableColumn id="5" xr3:uid="{00000000-0010-0000-0000-000005000000}" name="address_type"/>
    <tableColumn id="6" xr3:uid="{00000000-0010-0000-0000-000006000000}" name="family_size"/>
    <tableColumn id="7" xr3:uid="{00000000-0010-0000-0000-000007000000}" name="parent_status"/>
    <tableColumn id="8" xr3:uid="{00000000-0010-0000-0000-000008000000}" name="mother_education"/>
    <tableColumn id="9" xr3:uid="{00000000-0010-0000-0000-000009000000}" name="father_education"/>
    <tableColumn id="10" xr3:uid="{00000000-0010-0000-0000-00000A000000}" name="mother_job"/>
    <tableColumn id="11" xr3:uid="{00000000-0010-0000-0000-00000B000000}" name="father_job"/>
    <tableColumn id="15" xr3:uid="{00000000-0010-0000-0000-00000F000000}" name="study_time"/>
    <tableColumn id="16" xr3:uid="{00000000-0010-0000-0000-000010000000}" name="class_failures"/>
    <tableColumn id="17" xr3:uid="{00000000-0010-0000-0000-000011000000}" name="school_support"/>
    <tableColumn id="19" xr3:uid="{00000000-0010-0000-0000-000013000000}" name="extra_paid_classes"/>
    <tableColumn id="20" xr3:uid="{00000000-0010-0000-0000-000014000000}" name="activities"/>
    <tableColumn id="21" xr3:uid="{00000000-0010-0000-0000-000015000000}" name="nursery_school"/>
    <tableColumn id="23" xr3:uid="{00000000-0010-0000-0000-000017000000}" name="internet_access"/>
    <tableColumn id="24" xr3:uid="{00000000-0010-0000-0000-000018000000}" name="romantic_relationship"/>
    <tableColumn id="31" xr3:uid="{00000000-0010-0000-0000-00001F000000}" name="absences"/>
    <tableColumn id="32" xr3:uid="{00000000-0010-0000-0000-000020000000}" name="grade_1"/>
    <tableColumn id="33" xr3:uid="{00000000-0010-0000-0000-000021000000}" name="grade_2"/>
    <tableColumn id="34" xr3:uid="{00000000-0010-0000-0000-000022000000}" name="final_gra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EF989F15-3942-4572-BA75-09359D7D24CB}" name="Table41142" displayName="Table41142" ref="A65:G71" totalsRowShown="0">
  <autoFilter ref="A65:G71" xr:uid="{EF989F15-3942-4572-BA75-09359D7D24CB}"/>
  <tableColumns count="7">
    <tableColumn id="1" xr3:uid="{596B99CD-2A84-44DF-A0CC-747FCCD37375}" name="Education"/>
    <tableColumn id="2" xr3:uid="{1CA65091-BB19-4CB9-9B46-F2FFD8EA670C}" name="Male"/>
    <tableColumn id="3" xr3:uid="{4D08C7DC-7175-4796-A85F-6E3FD65F67BA}" name="Female"/>
    <tableColumn id="4" xr3:uid="{F9F0DDD1-42D2-4CE0-8D11-4BDD8F16D64A}" name="Total"/>
    <tableColumn id="5" xr3:uid="{3FCDA692-11AD-4DAB-B61F-5364124784DF}" name="M % of Total" dataDxfId="71"/>
    <tableColumn id="6" xr3:uid="{879DFB42-5C3E-4026-8EAD-9F4077E493F7}" name="F % of Total" dataDxfId="70"/>
    <tableColumn id="7" xr3:uid="{7336817B-1F5A-49B6-9874-8DE775558F94}" name="Total %" dataDxfId="69">
      <calculatedColumnFormula>103/395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D17D0A35-7DD5-436A-8A76-F7DB15D81389}" name="final_grade" displayName="final_grade" ref="A80:G106" totalsRowShown="0">
  <autoFilter ref="A80:G106" xr:uid="{D17D0A35-7DD5-436A-8A76-F7DB15D81389}"/>
  <tableColumns count="7">
    <tableColumn id="1" xr3:uid="{D967247A-7878-4FBB-894C-7B4AFA337844}" name="Grade"/>
    <tableColumn id="2" xr3:uid="{375695C7-A3E2-435A-A655-B812836FB5D9}" name="Male"/>
    <tableColumn id="3" xr3:uid="{F93606A5-941E-4A4E-8386-D0547ADEB5C8}" name="Female"/>
    <tableColumn id="4" xr3:uid="{7CC06F04-BF48-4523-827F-D474D2A3F7F5}" name="Total"/>
    <tableColumn id="5" xr3:uid="{B77EC43D-328C-49E8-A75D-71C78714A668}" name="Male %" dataDxfId="68"/>
    <tableColumn id="6" xr3:uid="{613E28CF-D919-411A-9541-50309D801590}" name="Female %" dataDxfId="67"/>
    <tableColumn id="7" xr3:uid="{0154D349-3CDA-45A3-BF35-7106D7D3CB85}" name="Total %" dataDxfId="6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A95669C-07C5-42C3-8A3E-9D7EB86913D5}" name="Table21944" displayName="Table21944" ref="A109:G129" totalsRowShown="0">
  <autoFilter ref="A109:G129" xr:uid="{8A95669C-07C5-42C3-8A3E-9D7EB86913D5}"/>
  <tableColumns count="7">
    <tableColumn id="1" xr3:uid="{C8FA5F0C-282A-4FE8-BA0B-DF935255CE43}" name="Attribute"/>
    <tableColumn id="2" xr3:uid="{3E7C776A-FF60-42D2-95F8-BDA23CA253CD}" name="Male"/>
    <tableColumn id="3" xr3:uid="{C3559B0E-E44A-4F56-A020-6FBBD3511865}" name="Female"/>
    <tableColumn id="4" xr3:uid="{0B3F3C3E-FE36-42D0-A7BA-FE5BD4F65D74}" name="Total"/>
    <tableColumn id="5" xr3:uid="{250004B1-DC04-416F-B04D-347F80E44119}" name="Male %" dataDxfId="65"/>
    <tableColumn id="6" xr3:uid="{665A6256-4ACF-4BAB-8296-F3F6B5001274}" name="Female %" dataDxfId="64"/>
    <tableColumn id="7" xr3:uid="{7F0BAFD1-0CD8-401E-9774-9A7309EB6A89}" name="Total %" dataDxfId="6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168DCA2-98FB-4624-975A-E5B043EBCF17}" name="Table12" displayName="Table12" ref="A5:G10" totalsRowShown="0">
  <autoFilter ref="A5:G10" xr:uid="{1168DCA2-98FB-4624-975A-E5B043EBCF17}"/>
  <tableColumns count="7">
    <tableColumn id="1" xr3:uid="{7FB629B5-3D2A-4C6C-A42A-22A4B5C3479A}" name="Time"/>
    <tableColumn id="2" xr3:uid="{9FB86279-19AA-4FC9-B9EB-7B0E12EEA237}" name="Males"/>
    <tableColumn id="3" xr3:uid="{4ABFEDEE-89A3-475F-BEA2-256D53DC55F8}" name="Females"/>
    <tableColumn id="4" xr3:uid="{AE90E0CC-F32B-4A7C-A357-B8ACF08FDFF4}" name="Total"/>
    <tableColumn id="5" xr3:uid="{649B7DA1-855A-470D-94EE-336F976251FB}" name="Male %" dataDxfId="62"/>
    <tableColumn id="6" xr3:uid="{C91D749C-8412-48C8-B655-9516628F2EA2}" name="Female %" dataDxfId="61"/>
    <tableColumn id="7" xr3:uid="{C7BDCB30-B15A-415C-A553-9F90123A3630}" name=" Total %" dataDxfId="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2D67285-D20B-4EE8-9F7F-B338976BFEDC}" name="Table19" displayName="Table19" ref="A20:G26" totalsRowShown="0">
  <autoFilter ref="A20:G26" xr:uid="{C2D67285-D20B-4EE8-9F7F-B338976BFEDC}"/>
  <tableColumns count="7">
    <tableColumn id="1" xr3:uid="{99B76620-7CE0-450E-B434-44E2295C8711}" name="Career"/>
    <tableColumn id="2" xr3:uid="{7FEF4F0C-6A59-4129-9C21-B5D1BEFF006F}" name="Males"/>
    <tableColumn id="3" xr3:uid="{7BA8E965-D20B-488D-92A5-ED839698E6B6}" name="Females"/>
    <tableColumn id="4" xr3:uid="{526E55AA-CA5A-4B8C-B235-303DE17FD488}" name="Total">
      <calculatedColumnFormula>C21 + B21</calculatedColumnFormula>
    </tableColumn>
    <tableColumn id="5" xr3:uid="{C885A2A6-A6E3-481A-B6CB-CAA4B797F908}" name="Male %" dataDxfId="59"/>
    <tableColumn id="6" xr3:uid="{59C36B43-986A-463B-8991-72190C6DF1FB}" name="Female %" dataDxfId="58"/>
    <tableColumn id="7" xr3:uid="{46C8FA33-9A32-4BD9-BDEF-CF1629929A85}" name="Total %" dataDxfId="5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drawing" Target="../drawings/drawing2.xml"/><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5.xml"/><Relationship Id="rId7" Type="http://schemas.openxmlformats.org/officeDocument/2006/relationships/table" Target="../tables/table19.xml"/><Relationship Id="rId2" Type="http://schemas.openxmlformats.org/officeDocument/2006/relationships/table" Target="../tables/table14.xml"/><Relationship Id="rId1" Type="http://schemas.openxmlformats.org/officeDocument/2006/relationships/drawing" Target="../drawings/drawing3.xml"/><Relationship Id="rId6" Type="http://schemas.openxmlformats.org/officeDocument/2006/relationships/table" Target="../tables/table18.xml"/><Relationship Id="rId5" Type="http://schemas.openxmlformats.org/officeDocument/2006/relationships/table" Target="../tables/table17.xml"/><Relationship Id="rId4"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1.xml"/><Relationship Id="rId7" Type="http://schemas.openxmlformats.org/officeDocument/2006/relationships/table" Target="../tables/table25.xml"/><Relationship Id="rId2" Type="http://schemas.openxmlformats.org/officeDocument/2006/relationships/table" Target="../tables/table20.xml"/><Relationship Id="rId1" Type="http://schemas.openxmlformats.org/officeDocument/2006/relationships/drawing" Target="../drawings/drawing4.xml"/><Relationship Id="rId6" Type="http://schemas.openxmlformats.org/officeDocument/2006/relationships/table" Target="../tables/table24.xml"/><Relationship Id="rId5" Type="http://schemas.openxmlformats.org/officeDocument/2006/relationships/table" Target="../tables/table23.xml"/><Relationship Id="rId4" Type="http://schemas.openxmlformats.org/officeDocument/2006/relationships/table" Target="../tables/table2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18" Type="http://schemas.openxmlformats.org/officeDocument/2006/relationships/table" Target="../tables/table42.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17" Type="http://schemas.openxmlformats.org/officeDocument/2006/relationships/table" Target="../tables/table41.xml"/><Relationship Id="rId2" Type="http://schemas.openxmlformats.org/officeDocument/2006/relationships/table" Target="../tables/table26.xml"/><Relationship Id="rId16" Type="http://schemas.openxmlformats.org/officeDocument/2006/relationships/table" Target="../tables/table40.xml"/><Relationship Id="rId20" Type="http://schemas.openxmlformats.org/officeDocument/2006/relationships/table" Target="../tables/table44.xml"/><Relationship Id="rId1" Type="http://schemas.openxmlformats.org/officeDocument/2006/relationships/drawing" Target="../drawings/drawing5.xml"/><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19" Type="http://schemas.openxmlformats.org/officeDocument/2006/relationships/table" Target="../tables/table43.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6.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941E5-B151-47B9-9BAE-581801E4EE46}">
  <dimension ref="A4:G129"/>
  <sheetViews>
    <sheetView workbookViewId="0">
      <selection activeCell="A105" sqref="A105"/>
    </sheetView>
  </sheetViews>
  <sheetFormatPr defaultRowHeight="15"/>
  <cols>
    <col min="1" max="1" width="12.85546875" bestFit="1" customWidth="1"/>
  </cols>
  <sheetData>
    <row r="4" spans="1:7">
      <c r="A4" t="s">
        <v>0</v>
      </c>
    </row>
    <row r="5" spans="1:7">
      <c r="A5" t="s">
        <v>1</v>
      </c>
      <c r="B5" t="s">
        <v>2</v>
      </c>
      <c r="C5" t="s">
        <v>3</v>
      </c>
      <c r="D5" t="s">
        <v>4</v>
      </c>
      <c r="E5" t="s">
        <v>5</v>
      </c>
      <c r="F5" t="s">
        <v>6</v>
      </c>
      <c r="G5" t="s">
        <v>7</v>
      </c>
    </row>
    <row r="6" spans="1:7">
      <c r="A6" t="s">
        <v>8</v>
      </c>
      <c r="B6">
        <v>78</v>
      </c>
      <c r="C6">
        <v>27</v>
      </c>
      <c r="D6">
        <f>27+78</f>
        <v>105</v>
      </c>
      <c r="E6" s="3">
        <f>78/187</f>
        <v>0.41711229946524064</v>
      </c>
      <c r="F6" s="3">
        <f>27/208</f>
        <v>0.12980769230769232</v>
      </c>
      <c r="G6" s="3">
        <f>105/295</f>
        <v>0.3559322033898305</v>
      </c>
    </row>
    <row r="7" spans="1:7">
      <c r="A7" t="s">
        <v>9</v>
      </c>
      <c r="B7">
        <v>85</v>
      </c>
      <c r="C7">
        <v>113</v>
      </c>
      <c r="D7">
        <f>85+113</f>
        <v>198</v>
      </c>
      <c r="E7" s="3">
        <f>85/187</f>
        <v>0.45454545454545453</v>
      </c>
      <c r="F7" s="3">
        <f>113/208</f>
        <v>0.54326923076923073</v>
      </c>
      <c r="G7" s="3">
        <f>198/395</f>
        <v>0.50126582278481013</v>
      </c>
    </row>
    <row r="8" spans="1:7">
      <c r="A8" t="s">
        <v>10</v>
      </c>
      <c r="B8">
        <v>14</v>
      </c>
      <c r="C8">
        <v>51</v>
      </c>
      <c r="D8">
        <f>14+51</f>
        <v>65</v>
      </c>
      <c r="E8" s="3">
        <f>14/187</f>
        <v>7.4866310160427801E-2</v>
      </c>
      <c r="F8" s="3">
        <f>51/208</f>
        <v>0.24519230769230768</v>
      </c>
      <c r="G8" s="3">
        <f>65/395</f>
        <v>0.16455696202531644</v>
      </c>
    </row>
    <row r="9" spans="1:7">
      <c r="A9" t="s">
        <v>11</v>
      </c>
      <c r="B9">
        <v>10</v>
      </c>
      <c r="C9">
        <v>17</v>
      </c>
      <c r="D9">
        <f>10+17</f>
        <v>27</v>
      </c>
      <c r="E9" s="3">
        <f>10/187</f>
        <v>5.3475935828877004E-2</v>
      </c>
      <c r="F9" s="3">
        <f>17/208</f>
        <v>8.1730769230769232E-2</v>
      </c>
      <c r="G9" s="3">
        <f>27/395</f>
        <v>6.8354430379746839E-2</v>
      </c>
    </row>
    <row r="10" spans="1:7">
      <c r="A10" t="s">
        <v>4</v>
      </c>
      <c r="B10">
        <f>SUM(B6:B9)</f>
        <v>187</v>
      </c>
      <c r="C10">
        <f>SUM(C6:C9)</f>
        <v>208</v>
      </c>
      <c r="D10">
        <f>105+198+65+27</f>
        <v>395</v>
      </c>
      <c r="E10" s="3">
        <v>1</v>
      </c>
      <c r="F10" s="3">
        <v>1</v>
      </c>
      <c r="G10" s="3">
        <v>1</v>
      </c>
    </row>
    <row r="19" spans="1:7">
      <c r="A19" t="s">
        <v>12</v>
      </c>
    </row>
    <row r="20" spans="1:7">
      <c r="A20" s="1" t="s">
        <v>13</v>
      </c>
      <c r="B20" s="2" t="s">
        <v>2</v>
      </c>
      <c r="C20" s="2" t="s">
        <v>3</v>
      </c>
      <c r="D20" s="2" t="s">
        <v>4</v>
      </c>
      <c r="E20" s="2" t="s">
        <v>14</v>
      </c>
      <c r="F20" s="4" t="s">
        <v>15</v>
      </c>
      <c r="G20" s="8" t="s">
        <v>7</v>
      </c>
    </row>
    <row r="21" spans="1:7">
      <c r="A21" t="s">
        <v>16</v>
      </c>
      <c r="B21">
        <v>53</v>
      </c>
      <c r="C21">
        <v>58</v>
      </c>
      <c r="D21">
        <v>111</v>
      </c>
      <c r="E21" s="3">
        <v>0.28339999999999999</v>
      </c>
      <c r="F21" s="3">
        <v>0.27879999999999999</v>
      </c>
      <c r="G21" s="3">
        <v>0.28100000000000003</v>
      </c>
    </row>
    <row r="22" spans="1:7">
      <c r="A22" t="s">
        <v>17</v>
      </c>
      <c r="B22">
        <v>16</v>
      </c>
      <c r="C22">
        <v>13</v>
      </c>
      <c r="D22">
        <v>29</v>
      </c>
      <c r="E22" s="3">
        <v>8.5599999999999996E-2</v>
      </c>
      <c r="F22" s="3">
        <v>6.25E-2</v>
      </c>
      <c r="G22" s="3">
        <v>7.3400000000000007E-2</v>
      </c>
    </row>
    <row r="23" spans="1:7">
      <c r="A23" t="s">
        <v>18</v>
      </c>
      <c r="B23">
        <v>6</v>
      </c>
      <c r="C23">
        <v>12</v>
      </c>
      <c r="D23">
        <v>18</v>
      </c>
      <c r="E23" s="3">
        <v>3.2099999999999997E-2</v>
      </c>
      <c r="F23" s="3">
        <v>5.7700000000000001E-2</v>
      </c>
      <c r="G23" s="3">
        <v>4.5600000000000002E-2</v>
      </c>
    </row>
    <row r="24" spans="1:7">
      <c r="A24" t="s">
        <v>19</v>
      </c>
      <c r="B24">
        <v>6</v>
      </c>
      <c r="C24">
        <v>14</v>
      </c>
      <c r="D24">
        <v>20</v>
      </c>
      <c r="E24" s="3">
        <v>3.2099999999999997E-2</v>
      </c>
      <c r="F24" s="3">
        <v>6.7299999999999999E-2</v>
      </c>
      <c r="G24" s="3">
        <v>5.0599999999999999E-2</v>
      </c>
    </row>
    <row r="25" spans="1:7">
      <c r="A25" t="s">
        <v>20</v>
      </c>
      <c r="B25">
        <v>106</v>
      </c>
      <c r="C25">
        <v>111</v>
      </c>
      <c r="D25">
        <v>217</v>
      </c>
      <c r="E25" s="3">
        <v>0.56679999999999997</v>
      </c>
      <c r="F25" s="3">
        <v>0.53369999999999995</v>
      </c>
      <c r="G25" s="3">
        <v>0.5494</v>
      </c>
    </row>
    <row r="26" spans="1:7">
      <c r="A26" t="s">
        <v>4</v>
      </c>
      <c r="B26">
        <v>187</v>
      </c>
      <c r="C26">
        <v>208</v>
      </c>
      <c r="D26">
        <v>395</v>
      </c>
      <c r="E26" s="3">
        <f>SUM(E21:E25)</f>
        <v>1</v>
      </c>
      <c r="F26" s="3">
        <f>SUM(F21:F25)</f>
        <v>1</v>
      </c>
      <c r="G26" s="3">
        <v>1</v>
      </c>
    </row>
    <row r="34" spans="1:7">
      <c r="A34" t="s">
        <v>21</v>
      </c>
    </row>
    <row r="35" spans="1:7">
      <c r="A35" s="5" t="s">
        <v>13</v>
      </c>
      <c r="B35" s="6" t="s">
        <v>2</v>
      </c>
      <c r="C35" s="6" t="s">
        <v>3</v>
      </c>
      <c r="D35" s="6" t="s">
        <v>4</v>
      </c>
      <c r="E35" s="6" t="s">
        <v>14</v>
      </c>
      <c r="F35" s="7" t="s">
        <v>15</v>
      </c>
      <c r="G35" s="6" t="s">
        <v>7</v>
      </c>
    </row>
    <row r="36" spans="1:7">
      <c r="A36" t="s">
        <v>16</v>
      </c>
      <c r="B36">
        <v>49</v>
      </c>
      <c r="C36">
        <v>54</v>
      </c>
      <c r="D36">
        <v>103</v>
      </c>
      <c r="E36" s="3">
        <v>0.26200000000000001</v>
      </c>
      <c r="F36" s="3">
        <v>0.2596</v>
      </c>
      <c r="G36" s="3">
        <v>0.26079999999999998</v>
      </c>
    </row>
    <row r="37" spans="1:7">
      <c r="A37" t="s">
        <v>17</v>
      </c>
      <c r="B37">
        <v>39</v>
      </c>
      <c r="C37">
        <v>19</v>
      </c>
      <c r="D37">
        <v>58</v>
      </c>
      <c r="E37" s="3">
        <v>0.20860000000000001</v>
      </c>
      <c r="F37" s="3">
        <v>9.1300000000000006E-2</v>
      </c>
      <c r="G37" s="3">
        <v>0.14680000000000001</v>
      </c>
    </row>
    <row r="38" spans="1:7">
      <c r="A38" t="s">
        <v>18</v>
      </c>
      <c r="B38">
        <v>15</v>
      </c>
      <c r="C38">
        <v>19</v>
      </c>
      <c r="D38">
        <v>34</v>
      </c>
      <c r="E38" s="3">
        <v>8.0199999999999994E-2</v>
      </c>
      <c r="F38" s="3">
        <v>9.1300000000000006E-2</v>
      </c>
      <c r="G38" s="3">
        <v>8.6099999999999996E-2</v>
      </c>
    </row>
    <row r="39" spans="1:7">
      <c r="A39" t="s">
        <v>19</v>
      </c>
      <c r="B39">
        <v>17</v>
      </c>
      <c r="C39">
        <v>42</v>
      </c>
      <c r="D39">
        <v>59</v>
      </c>
      <c r="E39" s="3">
        <v>9.0899999999999995E-2</v>
      </c>
      <c r="F39" s="3">
        <v>0.2019</v>
      </c>
      <c r="G39" s="3">
        <v>0.14940000000000001</v>
      </c>
    </row>
    <row r="40" spans="1:7">
      <c r="A40" t="s">
        <v>20</v>
      </c>
      <c r="B40">
        <v>67</v>
      </c>
      <c r="C40">
        <v>74</v>
      </c>
      <c r="D40">
        <v>141</v>
      </c>
      <c r="E40" s="3">
        <v>0.35830000000000001</v>
      </c>
      <c r="F40" s="3">
        <v>0.35580000000000001</v>
      </c>
      <c r="G40" s="3">
        <v>0.35699999999999998</v>
      </c>
    </row>
    <row r="41" spans="1:7">
      <c r="A41" t="s">
        <v>4</v>
      </c>
      <c r="B41">
        <v>187</v>
      </c>
      <c r="C41">
        <v>208</v>
      </c>
      <c r="D41">
        <v>395</v>
      </c>
      <c r="E41" s="3">
        <v>1</v>
      </c>
      <c r="F41" s="3">
        <v>1</v>
      </c>
      <c r="G41" s="3">
        <v>1</v>
      </c>
    </row>
    <row r="49" spans="1:7">
      <c r="A49" t="s">
        <v>22</v>
      </c>
    </row>
    <row r="50" spans="1:7">
      <c r="A50" t="s">
        <v>23</v>
      </c>
      <c r="B50" t="s">
        <v>2</v>
      </c>
      <c r="C50" t="s">
        <v>3</v>
      </c>
      <c r="D50" t="s">
        <v>4</v>
      </c>
      <c r="E50" t="s">
        <v>14</v>
      </c>
      <c r="F50" t="s">
        <v>15</v>
      </c>
      <c r="G50" t="s">
        <v>7</v>
      </c>
    </row>
    <row r="51" spans="1:7">
      <c r="A51" t="s">
        <v>24</v>
      </c>
      <c r="B51">
        <v>34</v>
      </c>
      <c r="C51">
        <v>48</v>
      </c>
      <c r="D51">
        <v>82</v>
      </c>
      <c r="E51" s="3">
        <v>0.18179999999999999</v>
      </c>
      <c r="F51" s="3">
        <v>0.23080000000000001</v>
      </c>
      <c r="G51" s="3">
        <f>82/395</f>
        <v>0.20759493670886076</v>
      </c>
    </row>
    <row r="52" spans="1:7">
      <c r="A52" t="s">
        <v>25</v>
      </c>
      <c r="B52">
        <v>55</v>
      </c>
      <c r="C52">
        <v>60</v>
      </c>
      <c r="D52">
        <v>115</v>
      </c>
      <c r="E52" s="3">
        <v>0.29409999999999997</v>
      </c>
      <c r="F52" s="3">
        <v>0.28849999999999998</v>
      </c>
      <c r="G52" s="3">
        <f>115/395</f>
        <v>0.29113924050632911</v>
      </c>
    </row>
    <row r="53" spans="1:7">
      <c r="A53" t="s">
        <v>26</v>
      </c>
      <c r="B53">
        <v>49</v>
      </c>
      <c r="C53">
        <v>51</v>
      </c>
      <c r="D53">
        <v>100</v>
      </c>
      <c r="E53" s="3">
        <v>0.26200000000000001</v>
      </c>
      <c r="F53" s="3">
        <v>0.2452</v>
      </c>
      <c r="G53" s="3">
        <f>100/395</f>
        <v>0.25316455696202533</v>
      </c>
    </row>
    <row r="54" spans="1:7">
      <c r="A54" t="s">
        <v>27</v>
      </c>
      <c r="B54">
        <v>47</v>
      </c>
      <c r="C54">
        <v>49</v>
      </c>
      <c r="D54">
        <v>96</v>
      </c>
      <c r="E54" s="3">
        <v>0.25130000000000002</v>
      </c>
      <c r="F54" s="3">
        <v>0.2356</v>
      </c>
      <c r="G54" s="3">
        <f>96/395</f>
        <v>0.24303797468354429</v>
      </c>
    </row>
    <row r="55" spans="1:7">
      <c r="A55" t="s">
        <v>28</v>
      </c>
      <c r="B55">
        <v>2</v>
      </c>
      <c r="C55">
        <v>0</v>
      </c>
      <c r="D55">
        <v>2</v>
      </c>
      <c r="E55" s="3">
        <v>1.0699999999999999E-2</v>
      </c>
      <c r="F55" s="3">
        <v>0</v>
      </c>
      <c r="G55" s="3">
        <f>2/395</f>
        <v>5.0632911392405064E-3</v>
      </c>
    </row>
    <row r="56" spans="1:7">
      <c r="A56" t="s">
        <v>4</v>
      </c>
      <c r="B56">
        <v>187</v>
      </c>
      <c r="C56">
        <v>208</v>
      </c>
      <c r="D56">
        <v>395</v>
      </c>
      <c r="E56" s="3">
        <f>B56/187</f>
        <v>1</v>
      </c>
      <c r="F56" s="3">
        <v>1</v>
      </c>
      <c r="G56" s="3">
        <v>1</v>
      </c>
    </row>
    <row r="64" spans="1:7">
      <c r="A64" t="s">
        <v>29</v>
      </c>
    </row>
    <row r="65" spans="1:7">
      <c r="A65" t="s">
        <v>23</v>
      </c>
      <c r="B65" t="s">
        <v>2</v>
      </c>
      <c r="C65" t="s">
        <v>3</v>
      </c>
      <c r="D65" t="s">
        <v>4</v>
      </c>
      <c r="E65" t="s">
        <v>14</v>
      </c>
      <c r="F65" t="s">
        <v>15</v>
      </c>
      <c r="G65" t="s">
        <v>7</v>
      </c>
    </row>
    <row r="66" spans="1:7">
      <c r="A66" t="s">
        <v>24</v>
      </c>
      <c r="B66">
        <v>27</v>
      </c>
      <c r="C66">
        <v>32</v>
      </c>
      <c r="D66">
        <v>59</v>
      </c>
      <c r="E66" s="3">
        <v>0.1444</v>
      </c>
      <c r="F66" s="3">
        <v>0.15379999999999999</v>
      </c>
      <c r="G66" s="3">
        <f>59/395</f>
        <v>0.14936708860759493</v>
      </c>
    </row>
    <row r="67" spans="1:7">
      <c r="A67" t="s">
        <v>25</v>
      </c>
      <c r="B67">
        <v>43</v>
      </c>
      <c r="C67">
        <v>60</v>
      </c>
      <c r="D67">
        <v>103</v>
      </c>
      <c r="E67" s="3">
        <v>0.22989999999999999</v>
      </c>
      <c r="F67" s="3">
        <v>0.28849999999999998</v>
      </c>
      <c r="G67" s="3">
        <f>103/395</f>
        <v>0.26075949367088608</v>
      </c>
    </row>
    <row r="68" spans="1:7">
      <c r="A68" t="s">
        <v>26</v>
      </c>
      <c r="B68">
        <v>46</v>
      </c>
      <c r="C68">
        <v>53</v>
      </c>
      <c r="D68">
        <v>99</v>
      </c>
      <c r="E68" s="3">
        <v>0.246</v>
      </c>
      <c r="F68" s="3">
        <v>0.25480000000000003</v>
      </c>
      <c r="G68" s="3">
        <f>99/395</f>
        <v>0.25063291139240507</v>
      </c>
    </row>
    <row r="69" spans="1:7">
      <c r="A69" t="s">
        <v>27</v>
      </c>
      <c r="B69">
        <v>70</v>
      </c>
      <c r="C69">
        <v>61</v>
      </c>
      <c r="D69">
        <v>131</v>
      </c>
      <c r="E69" s="3">
        <v>0.37430000000000002</v>
      </c>
      <c r="F69" s="3">
        <v>0.29330000000000001</v>
      </c>
      <c r="G69" s="3">
        <f>131/395</f>
        <v>0.33164556962025316</v>
      </c>
    </row>
    <row r="70" spans="1:7">
      <c r="A70" t="s">
        <v>28</v>
      </c>
      <c r="B70">
        <v>1</v>
      </c>
      <c r="C70">
        <v>2</v>
      </c>
      <c r="D70">
        <v>3</v>
      </c>
      <c r="E70" s="3">
        <v>5.3E-3</v>
      </c>
      <c r="F70" s="3">
        <v>9.5999999999999992E-3</v>
      </c>
      <c r="G70" s="3">
        <f>3/395</f>
        <v>7.5949367088607592E-3</v>
      </c>
    </row>
    <row r="71" spans="1:7">
      <c r="A71" t="s">
        <v>4</v>
      </c>
      <c r="B71">
        <v>187</v>
      </c>
      <c r="C71">
        <v>208</v>
      </c>
      <c r="D71">
        <v>395</v>
      </c>
      <c r="E71" s="3">
        <v>1</v>
      </c>
      <c r="F71" s="3">
        <v>1</v>
      </c>
      <c r="G71" s="3">
        <v>1</v>
      </c>
    </row>
    <row r="79" spans="1:7">
      <c r="A79" t="s">
        <v>30</v>
      </c>
    </row>
    <row r="80" spans="1:7">
      <c r="A80" t="s">
        <v>31</v>
      </c>
      <c r="B80" t="s">
        <v>2</v>
      </c>
      <c r="C80" t="s">
        <v>3</v>
      </c>
      <c r="D80" t="s">
        <v>4</v>
      </c>
      <c r="E80" t="s">
        <v>5</v>
      </c>
      <c r="F80" t="s">
        <v>6</v>
      </c>
      <c r="G80" t="s">
        <v>7</v>
      </c>
    </row>
    <row r="81" spans="1:7">
      <c r="A81" t="s">
        <v>32</v>
      </c>
      <c r="B81">
        <v>10.91</v>
      </c>
      <c r="C81">
        <v>9.9700000000000006</v>
      </c>
      <c r="D81">
        <v>10.41</v>
      </c>
      <c r="E81" s="3"/>
      <c r="F81" s="3"/>
      <c r="G81" s="3"/>
    </row>
    <row r="82" spans="1:7">
      <c r="A82" t="s">
        <v>33</v>
      </c>
      <c r="B82">
        <v>11</v>
      </c>
      <c r="C82">
        <v>10</v>
      </c>
      <c r="D82">
        <v>11</v>
      </c>
      <c r="E82" s="3"/>
      <c r="F82" s="3"/>
      <c r="G82" s="3"/>
    </row>
    <row r="83" spans="1:7">
      <c r="E83" s="3"/>
      <c r="F83" s="3"/>
      <c r="G83" s="3"/>
    </row>
    <row r="84" spans="1:7">
      <c r="A84">
        <v>20</v>
      </c>
      <c r="B84">
        <v>1</v>
      </c>
      <c r="C84">
        <v>0</v>
      </c>
      <c r="D84">
        <v>1</v>
      </c>
      <c r="E84" s="3">
        <f>1/187</f>
        <v>5.3475935828877002E-3</v>
      </c>
      <c r="F84" s="3">
        <v>0</v>
      </c>
      <c r="G84" s="3">
        <f>1/395</f>
        <v>2.5316455696202532E-3</v>
      </c>
    </row>
    <row r="85" spans="1:7">
      <c r="A85">
        <v>19</v>
      </c>
      <c r="B85">
        <v>3</v>
      </c>
      <c r="C85">
        <v>2</v>
      </c>
      <c r="D85">
        <v>5</v>
      </c>
      <c r="E85" s="3">
        <f>3/187</f>
        <v>1.6042780748663103E-2</v>
      </c>
      <c r="F85" s="3">
        <f>2/208</f>
        <v>9.6153846153846159E-3</v>
      </c>
      <c r="G85" s="3">
        <f>5/395</f>
        <v>1.2658227848101266E-2</v>
      </c>
    </row>
    <row r="86" spans="1:7">
      <c r="A86">
        <v>18</v>
      </c>
      <c r="B86">
        <v>7</v>
      </c>
      <c r="C86">
        <v>5</v>
      </c>
      <c r="D86">
        <v>12</v>
      </c>
      <c r="E86" s="3">
        <f>7/187</f>
        <v>3.7433155080213901E-2</v>
      </c>
      <c r="F86" s="3">
        <f>5/208</f>
        <v>2.403846153846154E-2</v>
      </c>
      <c r="G86" s="3">
        <f>12/395</f>
        <v>3.0379746835443037E-2</v>
      </c>
    </row>
    <row r="87" spans="1:7">
      <c r="A87">
        <v>17</v>
      </c>
      <c r="B87">
        <v>3</v>
      </c>
      <c r="C87">
        <v>3</v>
      </c>
      <c r="D87">
        <v>6</v>
      </c>
      <c r="E87" s="3">
        <f>3/187</f>
        <v>1.6042780748663103E-2</v>
      </c>
      <c r="F87" s="3">
        <f>3/208</f>
        <v>1.4423076923076924E-2</v>
      </c>
      <c r="G87" s="3">
        <f>6/395</f>
        <v>1.5189873417721518E-2</v>
      </c>
    </row>
    <row r="88" spans="1:7">
      <c r="A88">
        <v>16</v>
      </c>
      <c r="B88">
        <v>10</v>
      </c>
      <c r="C88">
        <v>6</v>
      </c>
      <c r="D88">
        <v>16</v>
      </c>
      <c r="E88" s="3">
        <f>10/187</f>
        <v>5.3475935828877004E-2</v>
      </c>
      <c r="F88" s="3">
        <f>6/208</f>
        <v>2.8846153846153848E-2</v>
      </c>
      <c r="G88" s="3">
        <f>16/395</f>
        <v>4.0506329113924051E-2</v>
      </c>
    </row>
    <row r="89" spans="1:7">
      <c r="A89">
        <v>15</v>
      </c>
      <c r="B89">
        <v>17</v>
      </c>
      <c r="C89">
        <v>16</v>
      </c>
      <c r="D89">
        <v>33</v>
      </c>
      <c r="E89" s="3">
        <f>17/187</f>
        <v>9.0909090909090912E-2</v>
      </c>
      <c r="F89" s="3">
        <f>16/208</f>
        <v>7.6923076923076927E-2</v>
      </c>
      <c r="G89" s="3">
        <f>33/395</f>
        <v>8.3544303797468356E-2</v>
      </c>
    </row>
    <row r="90" spans="1:7">
      <c r="A90">
        <v>14</v>
      </c>
      <c r="B90">
        <v>13</v>
      </c>
      <c r="C90">
        <v>14</v>
      </c>
      <c r="D90">
        <v>27</v>
      </c>
      <c r="E90" s="3">
        <f>13/187</f>
        <v>6.9518716577540107E-2</v>
      </c>
      <c r="F90" s="3">
        <f>14/208</f>
        <v>6.7307692307692304E-2</v>
      </c>
      <c r="G90" s="3">
        <f>27/395</f>
        <v>6.8354430379746839E-2</v>
      </c>
    </row>
    <row r="91" spans="1:7">
      <c r="A91">
        <v>13</v>
      </c>
      <c r="B91">
        <v>14</v>
      </c>
      <c r="C91">
        <v>17</v>
      </c>
      <c r="D91">
        <v>31</v>
      </c>
      <c r="E91" s="3">
        <f>14/187</f>
        <v>7.4866310160427801E-2</v>
      </c>
      <c r="F91" s="3">
        <f>17/208</f>
        <v>8.1730769230769232E-2</v>
      </c>
      <c r="G91" s="3">
        <f>31/395</f>
        <v>7.848101265822785E-2</v>
      </c>
    </row>
    <row r="92" spans="1:7">
      <c r="A92">
        <v>12</v>
      </c>
      <c r="B92">
        <v>20</v>
      </c>
      <c r="C92">
        <v>11</v>
      </c>
      <c r="D92">
        <v>31</v>
      </c>
      <c r="E92" s="3">
        <f>20/187</f>
        <v>0.10695187165775401</v>
      </c>
      <c r="F92" s="3">
        <f>11/208</f>
        <v>5.2884615384615384E-2</v>
      </c>
      <c r="G92" s="3">
        <f>31/395</f>
        <v>7.848101265822785E-2</v>
      </c>
    </row>
    <row r="93" spans="1:7">
      <c r="A93">
        <v>11</v>
      </c>
      <c r="B93">
        <v>18</v>
      </c>
      <c r="C93">
        <v>29</v>
      </c>
      <c r="D93">
        <v>47</v>
      </c>
      <c r="E93" s="3">
        <f>18/187</f>
        <v>9.6256684491978606E-2</v>
      </c>
      <c r="F93" s="3">
        <f>29/208</f>
        <v>0.13942307692307693</v>
      </c>
      <c r="G93" s="3">
        <f>47/395</f>
        <v>0.11898734177215189</v>
      </c>
    </row>
    <row r="94" spans="1:7">
      <c r="A94">
        <v>10</v>
      </c>
      <c r="B94">
        <v>26</v>
      </c>
      <c r="C94">
        <v>30</v>
      </c>
      <c r="D94">
        <v>56</v>
      </c>
      <c r="E94" s="3">
        <f>26/187</f>
        <v>0.13903743315508021</v>
      </c>
      <c r="F94" s="3">
        <f>30/208</f>
        <v>0.14423076923076922</v>
      </c>
      <c r="G94" s="3">
        <f>56/395</f>
        <v>0.14177215189873418</v>
      </c>
    </row>
    <row r="95" spans="1:7">
      <c r="A95">
        <v>9</v>
      </c>
      <c r="B95">
        <v>11</v>
      </c>
      <c r="C95">
        <v>17</v>
      </c>
      <c r="D95">
        <v>28</v>
      </c>
      <c r="E95" s="3">
        <f>11/187</f>
        <v>5.8823529411764705E-2</v>
      </c>
      <c r="F95" s="3">
        <f>17/208</f>
        <v>8.1730769230769232E-2</v>
      </c>
      <c r="G95" s="3">
        <f>28/395</f>
        <v>7.0886075949367092E-2</v>
      </c>
    </row>
    <row r="96" spans="1:7">
      <c r="A96">
        <v>8</v>
      </c>
      <c r="B96">
        <v>18</v>
      </c>
      <c r="C96">
        <v>14</v>
      </c>
      <c r="D96">
        <v>32</v>
      </c>
      <c r="E96" s="3">
        <f>18/187</f>
        <v>9.6256684491978606E-2</v>
      </c>
      <c r="F96" s="3">
        <f>14/208</f>
        <v>6.7307692307692304E-2</v>
      </c>
      <c r="G96" s="3">
        <f>32/395</f>
        <v>8.1012658227848103E-2</v>
      </c>
    </row>
    <row r="97" spans="1:7">
      <c r="A97">
        <v>7</v>
      </c>
      <c r="B97">
        <v>5</v>
      </c>
      <c r="C97">
        <v>4</v>
      </c>
      <c r="D97">
        <v>9</v>
      </c>
      <c r="E97" s="3">
        <f>5/187</f>
        <v>2.6737967914438502E-2</v>
      </c>
      <c r="F97" s="3">
        <f>4/208</f>
        <v>1.9230769230769232E-2</v>
      </c>
      <c r="G97" s="3">
        <f>9/395</f>
        <v>2.2784810126582278E-2</v>
      </c>
    </row>
    <row r="98" spans="1:7">
      <c r="A98">
        <v>6</v>
      </c>
      <c r="B98">
        <v>2</v>
      </c>
      <c r="C98">
        <v>13</v>
      </c>
      <c r="D98">
        <v>15</v>
      </c>
      <c r="E98" s="3">
        <f>2/187</f>
        <v>1.06951871657754E-2</v>
      </c>
      <c r="F98" s="3">
        <f>13/208</f>
        <v>6.25E-2</v>
      </c>
      <c r="G98" s="3">
        <f>15/395</f>
        <v>3.7974683544303799E-2</v>
      </c>
    </row>
    <row r="99" spans="1:7">
      <c r="A99">
        <v>5</v>
      </c>
      <c r="B99">
        <v>4</v>
      </c>
      <c r="C99">
        <v>3</v>
      </c>
      <c r="D99">
        <v>7</v>
      </c>
      <c r="E99" s="3">
        <f>4/187</f>
        <v>2.1390374331550801E-2</v>
      </c>
      <c r="F99" s="3">
        <f>3/208</f>
        <v>1.4423076923076924E-2</v>
      </c>
      <c r="G99" s="3">
        <f>7/395</f>
        <v>1.7721518987341773E-2</v>
      </c>
    </row>
    <row r="100" spans="1:7">
      <c r="A100">
        <v>4</v>
      </c>
      <c r="B100">
        <v>0</v>
      </c>
      <c r="C100">
        <v>1</v>
      </c>
      <c r="D100">
        <v>1</v>
      </c>
      <c r="E100" s="3">
        <v>0</v>
      </c>
      <c r="F100" s="3">
        <f>1/208</f>
        <v>4.807692307692308E-3</v>
      </c>
      <c r="G100" s="3">
        <f>1/395</f>
        <v>2.5316455696202532E-3</v>
      </c>
    </row>
    <row r="101" spans="1:7">
      <c r="A101">
        <v>3</v>
      </c>
      <c r="B101">
        <v>0</v>
      </c>
      <c r="C101">
        <v>0</v>
      </c>
      <c r="D101">
        <v>0</v>
      </c>
      <c r="E101" s="3">
        <v>0</v>
      </c>
      <c r="F101" s="3">
        <v>0</v>
      </c>
      <c r="G101" s="3">
        <v>0</v>
      </c>
    </row>
    <row r="102" spans="1:7">
      <c r="A102">
        <v>2</v>
      </c>
      <c r="B102">
        <v>0</v>
      </c>
      <c r="C102">
        <v>0</v>
      </c>
      <c r="D102">
        <v>0</v>
      </c>
      <c r="E102" s="3">
        <v>0</v>
      </c>
      <c r="F102" s="3">
        <v>0</v>
      </c>
      <c r="G102" s="3">
        <v>0</v>
      </c>
    </row>
    <row r="103" spans="1:7">
      <c r="A103">
        <v>1</v>
      </c>
      <c r="B103">
        <v>0</v>
      </c>
      <c r="C103">
        <v>0</v>
      </c>
      <c r="D103">
        <v>0</v>
      </c>
      <c r="E103" s="3">
        <v>0</v>
      </c>
      <c r="F103" s="3">
        <v>0</v>
      </c>
      <c r="G103" s="3">
        <v>0</v>
      </c>
    </row>
    <row r="104" spans="1:7">
      <c r="A104">
        <v>0</v>
      </c>
      <c r="B104">
        <v>15</v>
      </c>
      <c r="C104">
        <v>23</v>
      </c>
      <c r="D104">
        <v>38</v>
      </c>
      <c r="E104" s="3">
        <f>15/187</f>
        <v>8.0213903743315509E-2</v>
      </c>
      <c r="F104" s="3">
        <f>23/208</f>
        <v>0.11057692307692307</v>
      </c>
      <c r="G104" s="3">
        <f>38/395</f>
        <v>9.6202531645569619E-2</v>
      </c>
    </row>
    <row r="105" spans="1:7">
      <c r="E105" s="3"/>
      <c r="F105" s="3"/>
      <c r="G105" s="3"/>
    </row>
    <row r="106" spans="1:7">
      <c r="A106" t="s">
        <v>4</v>
      </c>
      <c r="B106">
        <v>187</v>
      </c>
      <c r="C106">
        <v>208</v>
      </c>
      <c r="D106">
        <v>395</v>
      </c>
      <c r="E106" s="3">
        <v>1</v>
      </c>
      <c r="F106" s="3">
        <v>1</v>
      </c>
      <c r="G106" s="3">
        <v>1</v>
      </c>
    </row>
    <row r="108" spans="1:7">
      <c r="A108" t="s">
        <v>34</v>
      </c>
    </row>
    <row r="109" spans="1:7">
      <c r="A109" t="s">
        <v>35</v>
      </c>
      <c r="B109" t="s">
        <v>2</v>
      </c>
      <c r="C109" t="s">
        <v>3</v>
      </c>
      <c r="D109" t="s">
        <v>4</v>
      </c>
      <c r="E109" t="s">
        <v>5</v>
      </c>
      <c r="F109" t="s">
        <v>6</v>
      </c>
      <c r="G109" t="s">
        <v>7</v>
      </c>
    </row>
    <row r="110" spans="1:7">
      <c r="A110" t="s">
        <v>36</v>
      </c>
      <c r="B110">
        <v>16.73</v>
      </c>
      <c r="C110">
        <v>16.66</v>
      </c>
      <c r="D110">
        <v>16.7</v>
      </c>
      <c r="E110" s="3"/>
      <c r="F110" s="3"/>
      <c r="G110" s="3"/>
    </row>
    <row r="111" spans="1:7">
      <c r="A111" t="s">
        <v>37</v>
      </c>
      <c r="B111">
        <v>5.14</v>
      </c>
      <c r="C111">
        <v>6.22</v>
      </c>
      <c r="D111">
        <v>5.71</v>
      </c>
      <c r="E111" s="3"/>
      <c r="F111" s="3"/>
      <c r="G111" s="3"/>
    </row>
    <row r="112" spans="1:7">
      <c r="A112" t="s">
        <v>38</v>
      </c>
      <c r="B112">
        <v>4</v>
      </c>
      <c r="C112">
        <v>4</v>
      </c>
      <c r="D112">
        <v>4</v>
      </c>
      <c r="E112" s="3"/>
      <c r="F112" s="3"/>
      <c r="G112" s="3"/>
    </row>
    <row r="113" spans="1:7">
      <c r="E113" s="3"/>
      <c r="F113" s="3"/>
      <c r="G113" s="3"/>
    </row>
    <row r="114" spans="1:7">
      <c r="A114" t="s">
        <v>39</v>
      </c>
      <c r="B114">
        <v>187</v>
      </c>
      <c r="C114">
        <v>208</v>
      </c>
      <c r="D114">
        <v>395</v>
      </c>
      <c r="E114" s="3">
        <f>187/395</f>
        <v>0.47341772151898737</v>
      </c>
      <c r="F114" s="3">
        <f>208/395</f>
        <v>0.52658227848101269</v>
      </c>
      <c r="G114" s="3">
        <v>1</v>
      </c>
    </row>
    <row r="115" spans="1:7">
      <c r="E115" s="3"/>
      <c r="F115" s="3"/>
      <c r="G115" s="3"/>
    </row>
    <row r="116" spans="1:7">
      <c r="A116" t="s">
        <v>40</v>
      </c>
      <c r="B116">
        <v>143</v>
      </c>
      <c r="C116">
        <v>164</v>
      </c>
      <c r="D116">
        <v>307</v>
      </c>
      <c r="E116" s="3">
        <f>143/187</f>
        <v>0.76470588235294112</v>
      </c>
      <c r="F116" s="3">
        <f>164/208</f>
        <v>0.78846153846153844</v>
      </c>
      <c r="G116" s="3">
        <f>307/395</f>
        <v>0.77721518987341776</v>
      </c>
    </row>
    <row r="117" spans="1:7">
      <c r="A117" t="s">
        <v>41</v>
      </c>
      <c r="B117">
        <v>44</v>
      </c>
      <c r="C117">
        <v>44</v>
      </c>
      <c r="D117">
        <v>88</v>
      </c>
      <c r="E117" s="3">
        <f>44/187</f>
        <v>0.23529411764705882</v>
      </c>
      <c r="F117" s="3">
        <f>44/208</f>
        <v>0.21153846153846154</v>
      </c>
      <c r="G117" s="3">
        <f>88/395</f>
        <v>0.22278481012658227</v>
      </c>
    </row>
    <row r="118" spans="1:7">
      <c r="E118" s="3"/>
      <c r="F118" s="3"/>
      <c r="G118" s="3"/>
    </row>
    <row r="119" spans="1:7">
      <c r="A119" t="s">
        <v>42</v>
      </c>
      <c r="B119">
        <v>169</v>
      </c>
      <c r="C119">
        <v>185</v>
      </c>
      <c r="D119">
        <v>354</v>
      </c>
      <c r="E119" s="3">
        <f>169/187</f>
        <v>0.90374331550802134</v>
      </c>
      <c r="F119" s="3">
        <f>185/208</f>
        <v>0.88942307692307687</v>
      </c>
      <c r="G119" s="3">
        <f>354/395</f>
        <v>0.89620253164556962</v>
      </c>
    </row>
    <row r="120" spans="1:7">
      <c r="A120" t="s">
        <v>43</v>
      </c>
      <c r="B120">
        <v>18</v>
      </c>
      <c r="C120">
        <v>23</v>
      </c>
      <c r="D120">
        <v>41</v>
      </c>
      <c r="E120" s="3">
        <f>18/187</f>
        <v>9.6256684491978606E-2</v>
      </c>
      <c r="F120" s="3">
        <f>23/208</f>
        <v>0.11057692307692307</v>
      </c>
      <c r="G120" s="3">
        <f>41/395</f>
        <v>0.10379746835443038</v>
      </c>
    </row>
    <row r="121" spans="1:7">
      <c r="E121" s="3"/>
      <c r="F121" s="3"/>
      <c r="G121" s="3"/>
    </row>
    <row r="122" spans="1:7">
      <c r="A122" t="s">
        <v>44</v>
      </c>
      <c r="B122">
        <v>82</v>
      </c>
      <c r="C122">
        <v>105</v>
      </c>
      <c r="D122">
        <v>187</v>
      </c>
      <c r="E122" s="3">
        <f>82/187</f>
        <v>0.43850267379679142</v>
      </c>
      <c r="F122" s="3">
        <f>105/208</f>
        <v>0.50480769230769229</v>
      </c>
      <c r="G122" s="3">
        <f>187/395</f>
        <v>0.47341772151898737</v>
      </c>
    </row>
    <row r="123" spans="1:7">
      <c r="A123" t="s">
        <v>45</v>
      </c>
      <c r="B123">
        <v>105</v>
      </c>
      <c r="C123">
        <v>103</v>
      </c>
      <c r="D123">
        <v>208</v>
      </c>
      <c r="E123" s="3">
        <f>105/187</f>
        <v>0.56149732620320858</v>
      </c>
      <c r="F123" s="3">
        <f>103/208</f>
        <v>0.49519230769230771</v>
      </c>
      <c r="G123" s="3">
        <f>208/395</f>
        <v>0.52658227848101269</v>
      </c>
    </row>
    <row r="124" spans="1:7">
      <c r="E124" s="3"/>
      <c r="F124" s="3"/>
      <c r="G124" s="3"/>
    </row>
    <row r="125" spans="1:7">
      <c r="A125" t="s">
        <v>46</v>
      </c>
      <c r="B125">
        <v>159</v>
      </c>
      <c r="C125">
        <v>170</v>
      </c>
      <c r="D125">
        <v>329</v>
      </c>
      <c r="E125" s="3">
        <f>159/187</f>
        <v>0.85026737967914434</v>
      </c>
      <c r="F125" s="3">
        <f>170/208</f>
        <v>0.81730769230769229</v>
      </c>
      <c r="G125" s="3">
        <f>329/395</f>
        <v>0.83291139240506329</v>
      </c>
    </row>
    <row r="126" spans="1:7">
      <c r="A126" t="s">
        <v>47</v>
      </c>
      <c r="B126">
        <v>28</v>
      </c>
      <c r="C126">
        <v>38</v>
      </c>
      <c r="D126">
        <v>66</v>
      </c>
      <c r="E126" s="3">
        <f>28/187</f>
        <v>0.1497326203208556</v>
      </c>
      <c r="F126" s="3">
        <f>38/208</f>
        <v>0.18269230769230768</v>
      </c>
      <c r="G126" s="3">
        <f>66/395</f>
        <v>0.16708860759493671</v>
      </c>
    </row>
    <row r="128" spans="1:7">
      <c r="A128" t="s">
        <v>48</v>
      </c>
      <c r="B128">
        <v>53</v>
      </c>
      <c r="C128">
        <v>79</v>
      </c>
      <c r="D128">
        <v>132</v>
      </c>
      <c r="E128" s="3">
        <f>53/187</f>
        <v>0.28342245989304815</v>
      </c>
      <c r="F128" s="3">
        <f>79/208</f>
        <v>0.37980769230769229</v>
      </c>
      <c r="G128" s="3">
        <f>132/395</f>
        <v>0.33417721518987342</v>
      </c>
    </row>
    <row r="129" spans="1:7">
      <c r="A129" t="s">
        <v>49</v>
      </c>
      <c r="B129">
        <v>134</v>
      </c>
      <c r="C129">
        <v>129</v>
      </c>
      <c r="D129">
        <v>263</v>
      </c>
      <c r="E129" s="3">
        <f>134/187</f>
        <v>0.71657754010695185</v>
      </c>
      <c r="F129" s="3">
        <f>129/208</f>
        <v>0.62019230769230771</v>
      </c>
      <c r="G129" s="3">
        <f>263/395</f>
        <v>0.66582278481012658</v>
      </c>
    </row>
  </sheetData>
  <pageMargins left="0.7" right="0.7" top="0.75" bottom="0.75" header="0.3" footer="0.3"/>
  <drawing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362D8-5CBA-4424-BBCF-F459413F63F5}">
  <dimension ref="A4:G98"/>
  <sheetViews>
    <sheetView workbookViewId="0">
      <selection activeCell="A66" sqref="A66"/>
    </sheetView>
  </sheetViews>
  <sheetFormatPr defaultRowHeight="15"/>
  <cols>
    <col min="1" max="1" width="17.42578125" customWidth="1"/>
    <col min="3" max="3" width="10.7109375" bestFit="1" customWidth="1"/>
    <col min="5" max="5" width="10.42578125" bestFit="1" customWidth="1"/>
    <col min="6" max="6" width="12.5703125" bestFit="1" customWidth="1"/>
    <col min="7" max="7" width="10.42578125" bestFit="1" customWidth="1"/>
  </cols>
  <sheetData>
    <row r="4" spans="1:7">
      <c r="A4" t="s">
        <v>50</v>
      </c>
    </row>
    <row r="5" spans="1:7">
      <c r="A5" t="s">
        <v>1</v>
      </c>
      <c r="B5" t="s">
        <v>51</v>
      </c>
      <c r="C5" t="s">
        <v>52</v>
      </c>
      <c r="D5" t="s">
        <v>4</v>
      </c>
      <c r="E5" t="s">
        <v>5</v>
      </c>
      <c r="F5" t="s">
        <v>6</v>
      </c>
      <c r="G5" t="s">
        <v>53</v>
      </c>
    </row>
    <row r="6" spans="1:7">
      <c r="A6" t="s">
        <v>8</v>
      </c>
      <c r="B6">
        <v>10</v>
      </c>
      <c r="C6">
        <v>3</v>
      </c>
      <c r="D6">
        <v>13</v>
      </c>
      <c r="E6" s="3">
        <f>10/15</f>
        <v>0.66666666666666663</v>
      </c>
      <c r="F6" s="3">
        <f>3/23</f>
        <v>0.13043478260869565</v>
      </c>
      <c r="G6" s="3">
        <f>13/38</f>
        <v>0.34210526315789475</v>
      </c>
    </row>
    <row r="7" spans="1:7">
      <c r="A7" t="s">
        <v>54</v>
      </c>
      <c r="B7">
        <v>4</v>
      </c>
      <c r="C7">
        <v>12</v>
      </c>
      <c r="D7">
        <v>16</v>
      </c>
      <c r="E7" s="3">
        <f>4/15</f>
        <v>0.26666666666666666</v>
      </c>
      <c r="F7" s="3">
        <f>12/23</f>
        <v>0.52173913043478259</v>
      </c>
      <c r="G7" s="3">
        <f>16/38</f>
        <v>0.42105263157894735</v>
      </c>
    </row>
    <row r="8" spans="1:7">
      <c r="A8" t="s">
        <v>55</v>
      </c>
      <c r="B8">
        <v>0</v>
      </c>
      <c r="C8">
        <v>6</v>
      </c>
      <c r="D8">
        <v>6</v>
      </c>
      <c r="E8" s="3">
        <v>0</v>
      </c>
      <c r="F8" s="3">
        <f>6/23</f>
        <v>0.2608695652173913</v>
      </c>
      <c r="G8" s="3">
        <f>6/38</f>
        <v>0.15789473684210525</v>
      </c>
    </row>
    <row r="9" spans="1:7">
      <c r="A9" t="s">
        <v>11</v>
      </c>
      <c r="B9">
        <v>1</v>
      </c>
      <c r="C9">
        <v>2</v>
      </c>
      <c r="D9">
        <v>3</v>
      </c>
      <c r="E9" s="3">
        <f>1/15</f>
        <v>6.6666666666666666E-2</v>
      </c>
      <c r="F9" s="3">
        <f>2/23</f>
        <v>8.6956521739130432E-2</v>
      </c>
      <c r="G9" s="3">
        <f>3/38</f>
        <v>7.8947368421052627E-2</v>
      </c>
    </row>
    <row r="10" spans="1:7">
      <c r="A10" t="s">
        <v>4</v>
      </c>
      <c r="B10">
        <v>15</v>
      </c>
      <c r="C10">
        <v>23</v>
      </c>
      <c r="D10">
        <v>38</v>
      </c>
      <c r="E10" s="3">
        <v>1</v>
      </c>
      <c r="F10" s="3">
        <v>1</v>
      </c>
      <c r="G10" s="3">
        <v>1</v>
      </c>
    </row>
    <row r="19" spans="1:7">
      <c r="A19" t="s">
        <v>12</v>
      </c>
    </row>
    <row r="20" spans="1:7">
      <c r="A20" t="s">
        <v>13</v>
      </c>
      <c r="B20" t="s">
        <v>51</v>
      </c>
      <c r="C20" t="s">
        <v>52</v>
      </c>
      <c r="D20" t="s">
        <v>4</v>
      </c>
      <c r="E20" t="s">
        <v>5</v>
      </c>
      <c r="F20" t="s">
        <v>6</v>
      </c>
      <c r="G20" t="s">
        <v>7</v>
      </c>
    </row>
    <row r="21" spans="1:7">
      <c r="A21" t="s">
        <v>56</v>
      </c>
      <c r="B21">
        <v>4</v>
      </c>
      <c r="C21">
        <v>7</v>
      </c>
      <c r="D21">
        <f t="shared" ref="D21:D26" si="0">C21 + B21</f>
        <v>11</v>
      </c>
      <c r="E21" s="3">
        <f>4/15</f>
        <v>0.26666666666666666</v>
      </c>
      <c r="F21" s="3">
        <f>7/23</f>
        <v>0.30434782608695654</v>
      </c>
      <c r="G21" s="3">
        <f>11/38</f>
        <v>0.28947368421052633</v>
      </c>
    </row>
    <row r="22" spans="1:7">
      <c r="A22" t="s">
        <v>17</v>
      </c>
      <c r="B22">
        <v>2</v>
      </c>
      <c r="C22">
        <v>1</v>
      </c>
      <c r="D22">
        <f t="shared" si="0"/>
        <v>3</v>
      </c>
      <c r="E22" s="3">
        <f>2/15</f>
        <v>0.13333333333333333</v>
      </c>
      <c r="F22" s="3">
        <f>1/23</f>
        <v>4.3478260869565216E-2</v>
      </c>
      <c r="G22" s="3">
        <f>3/38</f>
        <v>7.8947368421052627E-2</v>
      </c>
    </row>
    <row r="23" spans="1:7">
      <c r="A23" t="s">
        <v>57</v>
      </c>
      <c r="B23">
        <v>0</v>
      </c>
      <c r="C23">
        <v>0</v>
      </c>
      <c r="D23">
        <f t="shared" si="0"/>
        <v>0</v>
      </c>
      <c r="E23" s="3">
        <f>0/15</f>
        <v>0</v>
      </c>
      <c r="F23" s="3">
        <f>0/23</f>
        <v>0</v>
      </c>
      <c r="G23" s="3">
        <v>0</v>
      </c>
    </row>
    <row r="24" spans="1:7">
      <c r="A24" t="s">
        <v>58</v>
      </c>
      <c r="B24">
        <v>1</v>
      </c>
      <c r="C24">
        <v>2</v>
      </c>
      <c r="D24">
        <f t="shared" si="0"/>
        <v>3</v>
      </c>
      <c r="E24" s="3">
        <f>1/15</f>
        <v>6.6666666666666666E-2</v>
      </c>
      <c r="F24" s="3">
        <f>2/23</f>
        <v>8.6956521739130432E-2</v>
      </c>
      <c r="G24" s="3">
        <f>3/38</f>
        <v>7.8947368421052627E-2</v>
      </c>
    </row>
    <row r="25" spans="1:7">
      <c r="A25" t="s">
        <v>20</v>
      </c>
      <c r="B25">
        <v>8</v>
      </c>
      <c r="C25">
        <v>13</v>
      </c>
      <c r="D25">
        <f t="shared" si="0"/>
        <v>21</v>
      </c>
      <c r="E25" s="3">
        <f>9/15</f>
        <v>0.6</v>
      </c>
      <c r="F25" s="3">
        <f>13/23</f>
        <v>0.56521739130434778</v>
      </c>
      <c r="G25" s="3">
        <f>21/38</f>
        <v>0.55263157894736847</v>
      </c>
    </row>
    <row r="26" spans="1:7">
      <c r="A26" t="s">
        <v>4</v>
      </c>
      <c r="B26">
        <v>15</v>
      </c>
      <c r="C26">
        <v>23</v>
      </c>
      <c r="D26">
        <f t="shared" si="0"/>
        <v>38</v>
      </c>
      <c r="E26" s="3">
        <v>1</v>
      </c>
      <c r="F26" s="3">
        <v>1</v>
      </c>
      <c r="G26" s="3">
        <v>1</v>
      </c>
    </row>
    <row r="34" spans="1:7">
      <c r="A34" t="s">
        <v>21</v>
      </c>
    </row>
    <row r="35" spans="1:7">
      <c r="A35" t="s">
        <v>13</v>
      </c>
      <c r="B35" t="s">
        <v>51</v>
      </c>
      <c r="C35" t="s">
        <v>52</v>
      </c>
      <c r="D35" t="s">
        <v>4</v>
      </c>
      <c r="E35" t="s">
        <v>5</v>
      </c>
      <c r="F35" t="s">
        <v>6</v>
      </c>
      <c r="G35" t="s">
        <v>7</v>
      </c>
    </row>
    <row r="36" spans="1:7">
      <c r="A36" t="s">
        <v>56</v>
      </c>
      <c r="B36">
        <v>2</v>
      </c>
      <c r="C36">
        <v>7</v>
      </c>
      <c r="D36">
        <f t="shared" ref="D36:D41" si="1">C36 + B36</f>
        <v>9</v>
      </c>
      <c r="E36" s="3">
        <f>2/15</f>
        <v>0.13333333333333333</v>
      </c>
      <c r="F36" s="3">
        <f>7/23</f>
        <v>0.30434782608695654</v>
      </c>
      <c r="G36" s="3">
        <f>9/38</f>
        <v>0.23684210526315788</v>
      </c>
    </row>
    <row r="37" spans="1:7">
      <c r="A37" t="s">
        <v>17</v>
      </c>
      <c r="B37">
        <v>4</v>
      </c>
      <c r="C37">
        <v>0</v>
      </c>
      <c r="D37">
        <f t="shared" si="1"/>
        <v>4</v>
      </c>
      <c r="E37" s="3">
        <f>4/15</f>
        <v>0.26666666666666666</v>
      </c>
      <c r="F37" s="3">
        <v>0</v>
      </c>
      <c r="G37" s="3">
        <f>4/38</f>
        <v>0.10526315789473684</v>
      </c>
    </row>
    <row r="38" spans="1:7">
      <c r="A38" t="s">
        <v>57</v>
      </c>
      <c r="B38">
        <v>0</v>
      </c>
      <c r="C38">
        <v>2</v>
      </c>
      <c r="D38">
        <f t="shared" si="1"/>
        <v>2</v>
      </c>
      <c r="E38" s="3">
        <v>0</v>
      </c>
      <c r="F38" s="3">
        <f>2/23</f>
        <v>8.6956521739130432E-2</v>
      </c>
      <c r="G38" s="3">
        <f>2/39</f>
        <v>5.128205128205128E-2</v>
      </c>
    </row>
    <row r="39" spans="1:7">
      <c r="A39" t="s">
        <v>58</v>
      </c>
      <c r="B39">
        <v>3</v>
      </c>
      <c r="C39">
        <v>6</v>
      </c>
      <c r="D39">
        <f t="shared" si="1"/>
        <v>9</v>
      </c>
      <c r="E39" s="3">
        <f>3/15</f>
        <v>0.2</v>
      </c>
      <c r="F39" s="3">
        <f>6/23</f>
        <v>0.2608695652173913</v>
      </c>
      <c r="G39" s="3">
        <f>9/38</f>
        <v>0.23684210526315788</v>
      </c>
    </row>
    <row r="40" spans="1:7">
      <c r="A40" t="s">
        <v>20</v>
      </c>
      <c r="B40">
        <v>6</v>
      </c>
      <c r="C40">
        <v>8</v>
      </c>
      <c r="D40">
        <f t="shared" si="1"/>
        <v>14</v>
      </c>
      <c r="E40" s="3">
        <f>6/15</f>
        <v>0.4</v>
      </c>
      <c r="F40" s="3">
        <f>8/23</f>
        <v>0.34782608695652173</v>
      </c>
      <c r="G40" s="3">
        <f>14/38</f>
        <v>0.36842105263157893</v>
      </c>
    </row>
    <row r="41" spans="1:7">
      <c r="A41" t="s">
        <v>4</v>
      </c>
      <c r="B41">
        <v>15</v>
      </c>
      <c r="C41">
        <v>23</v>
      </c>
      <c r="D41">
        <f t="shared" si="1"/>
        <v>38</v>
      </c>
      <c r="E41" s="3">
        <v>1</v>
      </c>
      <c r="F41" s="3">
        <v>1</v>
      </c>
      <c r="G41" s="3">
        <v>1</v>
      </c>
    </row>
    <row r="49" spans="1:7">
      <c r="A49" t="s">
        <v>22</v>
      </c>
    </row>
    <row r="50" spans="1:7">
      <c r="A50" t="s">
        <v>23</v>
      </c>
      <c r="B50" t="s">
        <v>51</v>
      </c>
      <c r="C50" t="s">
        <v>52</v>
      </c>
      <c r="D50" t="s">
        <v>4</v>
      </c>
      <c r="E50" t="s">
        <v>5</v>
      </c>
      <c r="F50" t="s">
        <v>6</v>
      </c>
      <c r="G50" t="s">
        <v>7</v>
      </c>
    </row>
    <row r="51" spans="1:7">
      <c r="A51" t="s">
        <v>59</v>
      </c>
      <c r="B51">
        <v>4</v>
      </c>
      <c r="C51">
        <v>7</v>
      </c>
      <c r="D51">
        <f t="shared" ref="D51:D56" si="2">C51 + B51</f>
        <v>11</v>
      </c>
      <c r="E51" s="3">
        <f>4/15</f>
        <v>0.26666666666666666</v>
      </c>
      <c r="F51" s="3">
        <f>7/23</f>
        <v>0.30434782608695654</v>
      </c>
      <c r="G51" s="3">
        <f>11/38</f>
        <v>0.28947368421052633</v>
      </c>
    </row>
    <row r="52" spans="1:7">
      <c r="A52" t="s">
        <v>25</v>
      </c>
      <c r="B52">
        <v>4</v>
      </c>
      <c r="C52">
        <v>9</v>
      </c>
      <c r="D52">
        <f t="shared" si="2"/>
        <v>13</v>
      </c>
      <c r="E52" s="3">
        <f>4/15</f>
        <v>0.26666666666666666</v>
      </c>
      <c r="F52" s="3">
        <f>9/23</f>
        <v>0.39130434782608697</v>
      </c>
      <c r="G52" s="3">
        <f>13/38</f>
        <v>0.34210526315789475</v>
      </c>
    </row>
    <row r="53" spans="1:7">
      <c r="A53" t="s">
        <v>60</v>
      </c>
      <c r="B53">
        <v>2</v>
      </c>
      <c r="C53">
        <v>4</v>
      </c>
      <c r="D53">
        <f t="shared" si="2"/>
        <v>6</v>
      </c>
      <c r="E53" s="3">
        <f>2/15</f>
        <v>0.13333333333333333</v>
      </c>
      <c r="F53" s="3">
        <f>4/23</f>
        <v>0.17391304347826086</v>
      </c>
      <c r="G53" s="3">
        <f>6/38</f>
        <v>0.15789473684210525</v>
      </c>
    </row>
    <row r="54" spans="1:7">
      <c r="A54" t="s">
        <v>61</v>
      </c>
      <c r="B54">
        <v>5</v>
      </c>
      <c r="C54">
        <v>3</v>
      </c>
      <c r="D54">
        <f t="shared" si="2"/>
        <v>8</v>
      </c>
      <c r="E54" s="3">
        <f>5/15</f>
        <v>0.33333333333333331</v>
      </c>
      <c r="F54" s="3">
        <f>3/23</f>
        <v>0.13043478260869565</v>
      </c>
      <c r="G54" s="3">
        <f>8/38</f>
        <v>0.21052631578947367</v>
      </c>
    </row>
    <row r="55" spans="1:7">
      <c r="A55" t="s">
        <v>62</v>
      </c>
      <c r="B55">
        <v>0</v>
      </c>
      <c r="C55">
        <v>0</v>
      </c>
      <c r="D55">
        <f t="shared" si="2"/>
        <v>0</v>
      </c>
      <c r="E55" s="3">
        <v>0</v>
      </c>
      <c r="F55" s="3">
        <v>0</v>
      </c>
      <c r="G55" s="3">
        <v>0</v>
      </c>
    </row>
    <row r="56" spans="1:7">
      <c r="A56" t="s">
        <v>4</v>
      </c>
      <c r="B56">
        <v>15</v>
      </c>
      <c r="C56">
        <v>23</v>
      </c>
      <c r="D56">
        <f t="shared" si="2"/>
        <v>38</v>
      </c>
      <c r="E56" s="3">
        <v>1</v>
      </c>
      <c r="F56" s="3">
        <v>1</v>
      </c>
      <c r="G56" s="3">
        <v>1</v>
      </c>
    </row>
    <row r="64" spans="1:7">
      <c r="A64" t="s">
        <v>29</v>
      </c>
    </row>
    <row r="65" spans="1:7">
      <c r="A65" t="s">
        <v>23</v>
      </c>
      <c r="B65" t="s">
        <v>51</v>
      </c>
      <c r="C65" t="s">
        <v>52</v>
      </c>
      <c r="D65" t="s">
        <v>4</v>
      </c>
      <c r="E65" t="s">
        <v>5</v>
      </c>
      <c r="F65" t="s">
        <v>6</v>
      </c>
      <c r="G65" t="s">
        <v>7</v>
      </c>
    </row>
    <row r="66" spans="1:7">
      <c r="A66" t="s">
        <v>59</v>
      </c>
      <c r="B66">
        <v>3</v>
      </c>
      <c r="C66">
        <v>6</v>
      </c>
      <c r="D66">
        <f t="shared" ref="D66:D71" si="3">C66 + B66</f>
        <v>9</v>
      </c>
      <c r="E66" s="3">
        <f>3/15</f>
        <v>0.2</v>
      </c>
      <c r="F66" s="3">
        <f>6/23</f>
        <v>0.2608695652173913</v>
      </c>
      <c r="G66" s="3">
        <f>9/23</f>
        <v>0.39130434782608697</v>
      </c>
    </row>
    <row r="67" spans="1:7">
      <c r="A67" t="s">
        <v>25</v>
      </c>
      <c r="B67">
        <v>4</v>
      </c>
      <c r="C67">
        <v>10</v>
      </c>
      <c r="D67">
        <f t="shared" si="3"/>
        <v>14</v>
      </c>
      <c r="E67" s="3">
        <f>4/15</f>
        <v>0.26666666666666666</v>
      </c>
      <c r="F67" s="3">
        <f>10/23</f>
        <v>0.43478260869565216</v>
      </c>
      <c r="G67" s="3">
        <f>14/23</f>
        <v>0.60869565217391308</v>
      </c>
    </row>
    <row r="68" spans="1:7">
      <c r="A68" t="s">
        <v>60</v>
      </c>
      <c r="B68">
        <v>4</v>
      </c>
      <c r="C68">
        <v>5</v>
      </c>
      <c r="D68">
        <f t="shared" si="3"/>
        <v>9</v>
      </c>
      <c r="E68" s="3">
        <f>4/15</f>
        <v>0.26666666666666666</v>
      </c>
      <c r="F68" s="3">
        <f>5/23</f>
        <v>0.21739130434782608</v>
      </c>
      <c r="G68" s="3">
        <f>9/23</f>
        <v>0.39130434782608697</v>
      </c>
    </row>
    <row r="69" spans="1:7">
      <c r="A69" t="s">
        <v>61</v>
      </c>
      <c r="B69">
        <v>4</v>
      </c>
      <c r="C69">
        <v>2</v>
      </c>
      <c r="D69">
        <f t="shared" si="3"/>
        <v>6</v>
      </c>
      <c r="E69" s="3">
        <f>4/15</f>
        <v>0.26666666666666666</v>
      </c>
      <c r="F69" s="3">
        <f>2/23</f>
        <v>8.6956521739130432E-2</v>
      </c>
      <c r="G69" s="3">
        <f>6/23</f>
        <v>0.2608695652173913</v>
      </c>
    </row>
    <row r="70" spans="1:7">
      <c r="A70" t="s">
        <v>62</v>
      </c>
      <c r="B70">
        <v>0</v>
      </c>
      <c r="C70">
        <v>0</v>
      </c>
      <c r="D70">
        <f t="shared" si="3"/>
        <v>0</v>
      </c>
      <c r="E70" s="3">
        <v>0</v>
      </c>
      <c r="F70" s="3">
        <v>0</v>
      </c>
      <c r="G70" s="3">
        <v>0</v>
      </c>
    </row>
    <row r="71" spans="1:7">
      <c r="A71" t="s">
        <v>4</v>
      </c>
      <c r="B71">
        <v>15</v>
      </c>
      <c r="C71">
        <v>23</v>
      </c>
      <c r="D71">
        <f t="shared" si="3"/>
        <v>38</v>
      </c>
      <c r="E71" s="3">
        <v>1</v>
      </c>
      <c r="F71" s="3">
        <v>1</v>
      </c>
      <c r="G71" s="3">
        <v>1</v>
      </c>
    </row>
    <row r="79" spans="1:7">
      <c r="A79" t="s">
        <v>34</v>
      </c>
    </row>
    <row r="80" spans="1:7">
      <c r="A80" t="s">
        <v>63</v>
      </c>
      <c r="B80" t="s">
        <v>51</v>
      </c>
      <c r="C80" t="s">
        <v>52</v>
      </c>
      <c r="D80" t="s">
        <v>4</v>
      </c>
      <c r="E80" t="s">
        <v>5</v>
      </c>
      <c r="F80" t="s">
        <v>6</v>
      </c>
      <c r="G80" t="s">
        <v>7</v>
      </c>
    </row>
    <row r="81" spans="1:7">
      <c r="A81" t="s">
        <v>36</v>
      </c>
      <c r="B81">
        <v>17</v>
      </c>
      <c r="C81">
        <v>17.13</v>
      </c>
      <c r="D81">
        <v>17.079999999999998</v>
      </c>
    </row>
    <row r="82" spans="1:7">
      <c r="A82" t="s">
        <v>37</v>
      </c>
      <c r="B82">
        <v>0</v>
      </c>
      <c r="C82">
        <v>0</v>
      </c>
      <c r="D82">
        <v>0</v>
      </c>
    </row>
    <row r="83" spans="1:7">
      <c r="A83" t="s">
        <v>64</v>
      </c>
      <c r="B83">
        <v>15</v>
      </c>
      <c r="C83">
        <v>23</v>
      </c>
      <c r="D83">
        <v>38</v>
      </c>
    </row>
    <row r="85" spans="1:7">
      <c r="A85" t="s">
        <v>40</v>
      </c>
      <c r="B85">
        <v>10</v>
      </c>
      <c r="C85">
        <v>18</v>
      </c>
      <c r="D85">
        <v>18</v>
      </c>
      <c r="E85" s="3">
        <f>10/15</f>
        <v>0.66666666666666663</v>
      </c>
      <c r="F85" s="3">
        <f>18/23</f>
        <v>0.78260869565217395</v>
      </c>
      <c r="G85" s="3">
        <f>18/38</f>
        <v>0.47368421052631576</v>
      </c>
    </row>
    <row r="86" spans="1:7">
      <c r="A86" t="s">
        <v>41</v>
      </c>
      <c r="B86">
        <v>5</v>
      </c>
      <c r="C86">
        <v>5</v>
      </c>
      <c r="D86">
        <v>10</v>
      </c>
      <c r="E86" s="3">
        <f>5/15</f>
        <v>0.33333333333333331</v>
      </c>
      <c r="F86" s="3">
        <f>5/23</f>
        <v>0.21739130434782608</v>
      </c>
      <c r="G86" s="3">
        <f>10/38</f>
        <v>0.26315789473684209</v>
      </c>
    </row>
    <row r="87" spans="1:7">
      <c r="E87" s="3"/>
      <c r="F87" s="3"/>
      <c r="G87" s="3"/>
    </row>
    <row r="88" spans="1:7">
      <c r="A88" t="s">
        <v>42</v>
      </c>
      <c r="B88">
        <v>15</v>
      </c>
      <c r="C88">
        <v>21</v>
      </c>
      <c r="D88">
        <v>36</v>
      </c>
      <c r="E88" s="3">
        <v>1</v>
      </c>
      <c r="F88" s="3">
        <f>21/23</f>
        <v>0.91304347826086951</v>
      </c>
      <c r="G88" s="3">
        <f>36/38</f>
        <v>0.94736842105263153</v>
      </c>
    </row>
    <row r="89" spans="1:7">
      <c r="A89" t="s">
        <v>43</v>
      </c>
      <c r="B89">
        <v>0</v>
      </c>
      <c r="C89">
        <v>2</v>
      </c>
      <c r="D89">
        <v>2</v>
      </c>
      <c r="E89" s="3">
        <v>0</v>
      </c>
      <c r="F89" s="3">
        <f>2/23</f>
        <v>8.6956521739130432E-2</v>
      </c>
      <c r="G89" s="3">
        <f>2/38</f>
        <v>5.2631578947368418E-2</v>
      </c>
    </row>
    <row r="90" spans="1:7">
      <c r="E90" s="3"/>
      <c r="F90" s="3"/>
      <c r="G90" s="3"/>
    </row>
    <row r="91" spans="1:7">
      <c r="A91" t="s">
        <v>44</v>
      </c>
      <c r="B91">
        <v>6</v>
      </c>
      <c r="C91">
        <v>15</v>
      </c>
      <c r="D91">
        <v>21</v>
      </c>
      <c r="E91" s="3">
        <f>6/15</f>
        <v>0.4</v>
      </c>
      <c r="F91" s="3">
        <f>15/23</f>
        <v>0.65217391304347827</v>
      </c>
      <c r="G91" s="3">
        <f>21/38</f>
        <v>0.55263157894736847</v>
      </c>
    </row>
    <row r="92" spans="1:7">
      <c r="A92" t="s">
        <v>45</v>
      </c>
      <c r="B92">
        <v>9</v>
      </c>
      <c r="C92">
        <v>8</v>
      </c>
      <c r="D92">
        <v>17</v>
      </c>
      <c r="E92" s="3">
        <f>9/15</f>
        <v>0.6</v>
      </c>
      <c r="F92" s="3">
        <f>8/23</f>
        <v>0.34782608695652173</v>
      </c>
      <c r="G92" s="3">
        <f>17/38</f>
        <v>0.44736842105263158</v>
      </c>
    </row>
    <row r="93" spans="1:7">
      <c r="E93" s="3"/>
      <c r="F93" s="3"/>
      <c r="G93" s="3"/>
    </row>
    <row r="94" spans="1:7">
      <c r="A94" t="s">
        <v>46</v>
      </c>
      <c r="B94">
        <v>11</v>
      </c>
      <c r="C94">
        <v>19</v>
      </c>
      <c r="D94">
        <v>30</v>
      </c>
      <c r="E94" s="3">
        <f>11/15</f>
        <v>0.73333333333333328</v>
      </c>
      <c r="F94" s="3">
        <f>19/23</f>
        <v>0.82608695652173914</v>
      </c>
      <c r="G94" s="3">
        <f>30/38</f>
        <v>0.78947368421052633</v>
      </c>
    </row>
    <row r="95" spans="1:7">
      <c r="A95" t="s">
        <v>47</v>
      </c>
      <c r="B95">
        <v>4</v>
      </c>
      <c r="C95">
        <v>4</v>
      </c>
      <c r="D95">
        <v>8</v>
      </c>
      <c r="E95" s="3">
        <f>4/15</f>
        <v>0.26666666666666666</v>
      </c>
      <c r="F95" s="3">
        <f>4/23</f>
        <v>0.17391304347826086</v>
      </c>
      <c r="G95" s="3">
        <f>8/38</f>
        <v>0.21052631578947367</v>
      </c>
    </row>
    <row r="96" spans="1:7">
      <c r="E96" s="3"/>
      <c r="F96" s="3"/>
      <c r="G96" s="3"/>
    </row>
    <row r="97" spans="1:7">
      <c r="A97" t="s">
        <v>48</v>
      </c>
      <c r="B97">
        <v>5</v>
      </c>
      <c r="C97">
        <v>15</v>
      </c>
      <c r="D97">
        <v>20</v>
      </c>
      <c r="E97" s="3">
        <f>5/15</f>
        <v>0.33333333333333331</v>
      </c>
      <c r="F97" s="3">
        <f>15/23</f>
        <v>0.65217391304347827</v>
      </c>
      <c r="G97" s="3">
        <f>20/38</f>
        <v>0.52631578947368418</v>
      </c>
    </row>
    <row r="98" spans="1:7">
      <c r="A98" t="s">
        <v>65</v>
      </c>
      <c r="B98">
        <v>10</v>
      </c>
      <c r="C98">
        <v>8</v>
      </c>
      <c r="D98">
        <v>18</v>
      </c>
      <c r="E98" s="3">
        <f>10/15</f>
        <v>0.66666666666666663</v>
      </c>
      <c r="F98" s="3">
        <f>8/23</f>
        <v>0.34782608695652173</v>
      </c>
      <c r="G98" s="3">
        <f>18/38</f>
        <v>0.47368421052631576</v>
      </c>
    </row>
  </sheetData>
  <pageMargins left="0.7" right="0.7" top="0.75" bottom="0.75" header="0.3" footer="0.3"/>
  <drawing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80D9D-543E-4967-A1F6-9033121ABA5C}">
  <dimension ref="A4:G98"/>
  <sheetViews>
    <sheetView topLeftCell="N1" workbookViewId="0">
      <selection activeCell="D54" sqref="D54"/>
    </sheetView>
  </sheetViews>
  <sheetFormatPr defaultRowHeight="15"/>
  <cols>
    <col min="1" max="1" width="19.28515625" bestFit="1" customWidth="1"/>
    <col min="2" max="2" width="8.85546875" bestFit="1" customWidth="1"/>
    <col min="3" max="3" width="10.7109375" bestFit="1" customWidth="1"/>
    <col min="4" max="4" width="8" bestFit="1" customWidth="1"/>
    <col min="5" max="5" width="10" bestFit="1" customWidth="1"/>
    <col min="6" max="6" width="12" bestFit="1" customWidth="1"/>
    <col min="7" max="7" width="10.42578125" bestFit="1" customWidth="1"/>
  </cols>
  <sheetData>
    <row r="4" spans="1:7">
      <c r="A4" t="s">
        <v>50</v>
      </c>
    </row>
    <row r="5" spans="1:7">
      <c r="A5" t="s">
        <v>1</v>
      </c>
      <c r="B5" t="s">
        <v>51</v>
      </c>
      <c r="C5" t="s">
        <v>52</v>
      </c>
      <c r="D5" t="s">
        <v>4</v>
      </c>
      <c r="E5" t="s">
        <v>5</v>
      </c>
      <c r="F5" t="s">
        <v>6</v>
      </c>
      <c r="G5" t="s">
        <v>53</v>
      </c>
    </row>
    <row r="6" spans="1:7">
      <c r="A6" t="s">
        <v>8</v>
      </c>
      <c r="B6">
        <v>4</v>
      </c>
      <c r="C6">
        <v>3</v>
      </c>
      <c r="D6">
        <f>Table1225[[#This Row],[Males]] + Table1225[[#This Row],[Females]]</f>
        <v>7</v>
      </c>
      <c r="E6" s="3">
        <f>4/18</f>
        <v>0.22222222222222221</v>
      </c>
      <c r="F6" s="3">
        <f>3/29</f>
        <v>0.10344827586206896</v>
      </c>
      <c r="G6" s="3">
        <f>7/47</f>
        <v>0.14893617021276595</v>
      </c>
    </row>
    <row r="7" spans="1:7">
      <c r="A7" t="s">
        <v>54</v>
      </c>
      <c r="B7">
        <v>12</v>
      </c>
      <c r="C7">
        <v>17</v>
      </c>
      <c r="D7">
        <f>Table1225[[#This Row],[Males]] + Table1225[[#This Row],[Females]]</f>
        <v>29</v>
      </c>
      <c r="E7" s="3">
        <f>12/18</f>
        <v>0.66666666666666663</v>
      </c>
      <c r="F7" s="3">
        <f>17/29</f>
        <v>0.58620689655172409</v>
      </c>
      <c r="G7" s="3">
        <f>29/47</f>
        <v>0.61702127659574468</v>
      </c>
    </row>
    <row r="8" spans="1:7">
      <c r="A8" t="s">
        <v>55</v>
      </c>
      <c r="B8">
        <v>2</v>
      </c>
      <c r="C8">
        <v>6</v>
      </c>
      <c r="D8">
        <f>Table1225[[#This Row],[Males]] + Table1225[[#This Row],[Females]]</f>
        <v>8</v>
      </c>
      <c r="E8" s="3">
        <f>2/18</f>
        <v>0.1111111111111111</v>
      </c>
      <c r="F8" s="3">
        <f>6/29</f>
        <v>0.20689655172413793</v>
      </c>
      <c r="G8" s="3">
        <f>8/47</f>
        <v>0.1702127659574468</v>
      </c>
    </row>
    <row r="9" spans="1:7">
      <c r="A9" t="s">
        <v>11</v>
      </c>
      <c r="B9">
        <v>0</v>
      </c>
      <c r="C9">
        <v>3</v>
      </c>
      <c r="D9">
        <f>Table1225[[#This Row],[Males]] + Table1225[[#This Row],[Females]]</f>
        <v>3</v>
      </c>
      <c r="E9" s="3">
        <v>0</v>
      </c>
      <c r="F9" s="3">
        <f>3/29</f>
        <v>0.10344827586206896</v>
      </c>
      <c r="G9" s="3">
        <f>3/47</f>
        <v>6.3829787234042548E-2</v>
      </c>
    </row>
    <row r="10" spans="1:7">
      <c r="A10" t="s">
        <v>4</v>
      </c>
      <c r="B10">
        <v>18</v>
      </c>
      <c r="C10">
        <v>29</v>
      </c>
      <c r="D10">
        <f>Table1225[[#This Row],[Males]] + Table1225[[#This Row],[Females]]</f>
        <v>47</v>
      </c>
      <c r="E10" s="3">
        <v>1</v>
      </c>
      <c r="F10" s="3">
        <v>1</v>
      </c>
      <c r="G10" s="3">
        <v>1</v>
      </c>
    </row>
    <row r="19" spans="1:7">
      <c r="A19" t="s">
        <v>12</v>
      </c>
    </row>
    <row r="20" spans="1:7">
      <c r="A20" t="s">
        <v>13</v>
      </c>
      <c r="B20" t="s">
        <v>51</v>
      </c>
      <c r="C20" t="s">
        <v>52</v>
      </c>
      <c r="D20" t="s">
        <v>4</v>
      </c>
      <c r="E20" t="s">
        <v>5</v>
      </c>
      <c r="F20" t="s">
        <v>6</v>
      </c>
      <c r="G20" t="s">
        <v>7</v>
      </c>
    </row>
    <row r="21" spans="1:7">
      <c r="A21" t="s">
        <v>56</v>
      </c>
      <c r="B21">
        <v>4</v>
      </c>
      <c r="C21">
        <v>10</v>
      </c>
      <c r="D21">
        <f>Table1926[[#This Row],[Males]] + Table1926[[#This Row],[Females]]</f>
        <v>14</v>
      </c>
      <c r="E21" s="3">
        <f>4/18</f>
        <v>0.22222222222222221</v>
      </c>
      <c r="F21" s="3">
        <f t="shared" ref="F21:F26" si="0">10/29</f>
        <v>0.34482758620689657</v>
      </c>
      <c r="G21" s="3">
        <f>14/47</f>
        <v>0.2978723404255319</v>
      </c>
    </row>
    <row r="22" spans="1:7">
      <c r="A22" t="s">
        <v>17</v>
      </c>
      <c r="B22">
        <v>1</v>
      </c>
      <c r="C22">
        <v>2</v>
      </c>
      <c r="D22">
        <f>Table1926[[#This Row],[Males]] + Table1926[[#This Row],[Females]]</f>
        <v>3</v>
      </c>
      <c r="E22" s="3">
        <f>1/18</f>
        <v>5.5555555555555552E-2</v>
      </c>
      <c r="F22" s="3">
        <f>2/29</f>
        <v>6.8965517241379309E-2</v>
      </c>
      <c r="G22" s="3">
        <f>3/47</f>
        <v>6.3829787234042548E-2</v>
      </c>
    </row>
    <row r="23" spans="1:7">
      <c r="A23" t="s">
        <v>57</v>
      </c>
      <c r="B23">
        <v>0</v>
      </c>
      <c r="C23">
        <v>2</v>
      </c>
      <c r="D23">
        <f>Table1926[[#This Row],[Males]] + Table1926[[#This Row],[Females]]</f>
        <v>2</v>
      </c>
      <c r="E23" s="3">
        <v>0</v>
      </c>
      <c r="F23" s="3">
        <f>2/29</f>
        <v>6.8965517241379309E-2</v>
      </c>
      <c r="G23" s="3">
        <f>2/47</f>
        <v>4.2553191489361701E-2</v>
      </c>
    </row>
    <row r="24" spans="1:7">
      <c r="A24" t="s">
        <v>58</v>
      </c>
      <c r="B24">
        <v>1</v>
      </c>
      <c r="C24">
        <v>1</v>
      </c>
      <c r="D24">
        <f>Table1926[[#This Row],[Males]] + Table1926[[#This Row],[Females]]</f>
        <v>2</v>
      </c>
      <c r="E24" s="3">
        <f>1/18</f>
        <v>5.5555555555555552E-2</v>
      </c>
      <c r="F24" s="3">
        <f>1/29</f>
        <v>3.4482758620689655E-2</v>
      </c>
      <c r="G24" s="3">
        <f>2/47</f>
        <v>4.2553191489361701E-2</v>
      </c>
    </row>
    <row r="25" spans="1:7">
      <c r="A25" t="s">
        <v>20</v>
      </c>
      <c r="B25">
        <v>12</v>
      </c>
      <c r="C25">
        <v>14</v>
      </c>
      <c r="D25">
        <f>Table1926[[#This Row],[Males]] + Table1926[[#This Row],[Females]]</f>
        <v>26</v>
      </c>
      <c r="E25" s="3">
        <f>12/18</f>
        <v>0.66666666666666663</v>
      </c>
      <c r="F25" s="3">
        <f>14/29</f>
        <v>0.48275862068965519</v>
      </c>
      <c r="G25" s="3">
        <f>26/47</f>
        <v>0.55319148936170215</v>
      </c>
    </row>
    <row r="26" spans="1:7">
      <c r="A26" t="s">
        <v>4</v>
      </c>
      <c r="B26">
        <v>18</v>
      </c>
      <c r="C26">
        <v>29</v>
      </c>
      <c r="D26">
        <f>Table1926[[#This Row],[Males]] + Table1926[[#This Row],[Females]]</f>
        <v>47</v>
      </c>
      <c r="E26" s="3">
        <v>1</v>
      </c>
      <c r="F26" s="3">
        <v>1</v>
      </c>
      <c r="G26" s="3">
        <v>1</v>
      </c>
    </row>
    <row r="34" spans="1:7">
      <c r="A34" t="s">
        <v>21</v>
      </c>
    </row>
    <row r="35" spans="1:7">
      <c r="A35" t="s">
        <v>13</v>
      </c>
      <c r="B35" t="s">
        <v>51</v>
      </c>
      <c r="C35" t="s">
        <v>52</v>
      </c>
      <c r="D35" t="s">
        <v>4</v>
      </c>
      <c r="E35" t="s">
        <v>5</v>
      </c>
      <c r="F35" t="s">
        <v>6</v>
      </c>
      <c r="G35" t="s">
        <v>7</v>
      </c>
    </row>
    <row r="36" spans="1:7">
      <c r="A36" t="s">
        <v>56</v>
      </c>
      <c r="B36">
        <v>6</v>
      </c>
      <c r="C36">
        <v>10</v>
      </c>
      <c r="D36">
        <f>Table2027[[#This Row],[Males]] + Table2027[[#This Row],[Females]]</f>
        <v>16</v>
      </c>
      <c r="E36" s="3">
        <f>6/18</f>
        <v>0.33333333333333331</v>
      </c>
      <c r="F36" s="3">
        <f>10/29</f>
        <v>0.34482758620689657</v>
      </c>
      <c r="G36" s="3">
        <f>16/47</f>
        <v>0.34042553191489361</v>
      </c>
    </row>
    <row r="37" spans="1:7">
      <c r="A37" t="s">
        <v>17</v>
      </c>
      <c r="B37">
        <v>3</v>
      </c>
      <c r="C37">
        <v>3</v>
      </c>
      <c r="D37">
        <f>Table2027[[#This Row],[Males]] + Table2027[[#This Row],[Females]]</f>
        <v>6</v>
      </c>
      <c r="E37" s="3">
        <f>3/18</f>
        <v>0.16666666666666666</v>
      </c>
      <c r="F37" s="3">
        <f>3/29</f>
        <v>0.10344827586206896</v>
      </c>
      <c r="G37" s="3">
        <f>6/47</f>
        <v>0.1276595744680851</v>
      </c>
    </row>
    <row r="38" spans="1:7">
      <c r="A38" t="s">
        <v>57</v>
      </c>
      <c r="B38">
        <v>1</v>
      </c>
      <c r="C38">
        <v>2</v>
      </c>
      <c r="D38">
        <f>Table2027[[#This Row],[Males]] + Table2027[[#This Row],[Females]]</f>
        <v>3</v>
      </c>
      <c r="E38" s="3">
        <f>1/18</f>
        <v>5.5555555555555552E-2</v>
      </c>
      <c r="F38" s="3">
        <f>2/29</f>
        <v>6.8965517241379309E-2</v>
      </c>
      <c r="G38" s="3">
        <f>3/47</f>
        <v>6.3829787234042548E-2</v>
      </c>
    </row>
    <row r="39" spans="1:7">
      <c r="A39" t="s">
        <v>58</v>
      </c>
      <c r="B39">
        <v>0</v>
      </c>
      <c r="C39">
        <v>2</v>
      </c>
      <c r="D39">
        <f>Table2027[[#This Row],[Males]] + Table2027[[#This Row],[Females]]</f>
        <v>2</v>
      </c>
      <c r="E39" s="3">
        <v>0</v>
      </c>
      <c r="F39" s="3">
        <f>2/29</f>
        <v>6.8965517241379309E-2</v>
      </c>
      <c r="G39" s="3">
        <f>2/47</f>
        <v>4.2553191489361701E-2</v>
      </c>
    </row>
    <row r="40" spans="1:7">
      <c r="A40" t="s">
        <v>20</v>
      </c>
      <c r="B40">
        <v>8</v>
      </c>
      <c r="C40">
        <v>12</v>
      </c>
      <c r="D40">
        <f>Table2027[[#This Row],[Males]] + Table2027[[#This Row],[Females]]</f>
        <v>20</v>
      </c>
      <c r="E40" s="3">
        <f>8/18</f>
        <v>0.44444444444444442</v>
      </c>
      <c r="F40" s="3">
        <f>12/29</f>
        <v>0.41379310344827586</v>
      </c>
      <c r="G40" s="3">
        <f>20/47</f>
        <v>0.42553191489361702</v>
      </c>
    </row>
    <row r="41" spans="1:7">
      <c r="A41" t="s">
        <v>4</v>
      </c>
      <c r="B41">
        <v>18</v>
      </c>
      <c r="C41">
        <v>29</v>
      </c>
      <c r="D41">
        <f>Table2027[[#This Row],[Males]] + Table2027[[#This Row],[Females]]</f>
        <v>47</v>
      </c>
      <c r="E41" s="3">
        <v>1</v>
      </c>
      <c r="F41" s="3">
        <v>1</v>
      </c>
      <c r="G41" s="3">
        <v>1</v>
      </c>
    </row>
    <row r="49" spans="1:7">
      <c r="A49" t="s">
        <v>22</v>
      </c>
    </row>
    <row r="50" spans="1:7">
      <c r="A50" t="s">
        <v>23</v>
      </c>
      <c r="B50" t="s">
        <v>51</v>
      </c>
      <c r="C50" t="s">
        <v>52</v>
      </c>
      <c r="D50" t="s">
        <v>4</v>
      </c>
      <c r="E50" t="s">
        <v>5</v>
      </c>
      <c r="F50" t="s">
        <v>6</v>
      </c>
      <c r="G50" t="s">
        <v>7</v>
      </c>
    </row>
    <row r="51" spans="1:7">
      <c r="A51" t="s">
        <v>59</v>
      </c>
      <c r="B51">
        <v>1</v>
      </c>
      <c r="C51">
        <v>5</v>
      </c>
      <c r="D51">
        <f>father_ed_med[[#This Row],[Males]] + father_ed_med[[#This Row],[Females]]</f>
        <v>6</v>
      </c>
      <c r="E51" s="3">
        <f>1/18</f>
        <v>5.5555555555555552E-2</v>
      </c>
      <c r="F51" s="3">
        <f>5/29</f>
        <v>0.17241379310344829</v>
      </c>
      <c r="G51" s="3">
        <f>6/47</f>
        <v>0.1276595744680851</v>
      </c>
    </row>
    <row r="52" spans="1:7">
      <c r="A52" t="s">
        <v>25</v>
      </c>
      <c r="B52">
        <v>7</v>
      </c>
      <c r="C52">
        <v>10</v>
      </c>
      <c r="D52">
        <f>father_ed_med[[#This Row],[Males]] + father_ed_med[[#This Row],[Females]]</f>
        <v>17</v>
      </c>
      <c r="E52" s="3">
        <f>7/18</f>
        <v>0.3888888888888889</v>
      </c>
      <c r="F52" s="3">
        <f>10/29</f>
        <v>0.34482758620689657</v>
      </c>
      <c r="G52" s="3">
        <f>17/47</f>
        <v>0.36170212765957449</v>
      </c>
    </row>
    <row r="53" spans="1:7">
      <c r="A53" t="s">
        <v>60</v>
      </c>
      <c r="B53">
        <v>7</v>
      </c>
      <c r="C53">
        <v>4</v>
      </c>
      <c r="D53">
        <f>father_ed_med[[#This Row],[Males]] + father_ed_med[[#This Row],[Females]]</f>
        <v>11</v>
      </c>
      <c r="E53" s="3">
        <f>7/18</f>
        <v>0.3888888888888889</v>
      </c>
      <c r="F53" s="3">
        <f>4/29</f>
        <v>0.13793103448275862</v>
      </c>
      <c r="G53" s="3">
        <f>11/47</f>
        <v>0.23404255319148937</v>
      </c>
    </row>
    <row r="54" spans="1:7">
      <c r="A54" t="s">
        <v>61</v>
      </c>
      <c r="B54">
        <v>3</v>
      </c>
      <c r="C54">
        <v>10</v>
      </c>
      <c r="D54">
        <f>father_ed_med[[#This Row],[Males]] + father_ed_med[[#This Row],[Females]]</f>
        <v>13</v>
      </c>
      <c r="E54" s="3">
        <f>3/18</f>
        <v>0.16666666666666666</v>
      </c>
      <c r="F54" s="3">
        <f>10/29</f>
        <v>0.34482758620689657</v>
      </c>
      <c r="G54" s="3">
        <f>13/47</f>
        <v>0.27659574468085107</v>
      </c>
    </row>
    <row r="55" spans="1:7">
      <c r="A55" t="s">
        <v>62</v>
      </c>
      <c r="B55">
        <v>0</v>
      </c>
      <c r="C55">
        <v>0</v>
      </c>
      <c r="D55">
        <f>father_ed_med[[#This Row],[Males]] + father_ed_med[[#This Row],[Females]]</f>
        <v>0</v>
      </c>
      <c r="E55" s="3">
        <v>0</v>
      </c>
      <c r="F55" s="3">
        <v>0</v>
      </c>
      <c r="G55" s="3">
        <v>0</v>
      </c>
    </row>
    <row r="56" spans="1:7">
      <c r="A56" t="s">
        <v>4</v>
      </c>
      <c r="B56">
        <v>18</v>
      </c>
      <c r="C56">
        <v>29</v>
      </c>
      <c r="D56">
        <f>father_ed_med[[#This Row],[Males]] + father_ed_med[[#This Row],[Females]]</f>
        <v>47</v>
      </c>
      <c r="E56" s="3">
        <v>1</v>
      </c>
      <c r="F56" s="3">
        <v>1</v>
      </c>
      <c r="G56" s="3">
        <v>1</v>
      </c>
    </row>
    <row r="61" spans="1:7">
      <c r="F61" t="s">
        <v>66</v>
      </c>
    </row>
    <row r="64" spans="1:7">
      <c r="A64" t="s">
        <v>29</v>
      </c>
    </row>
    <row r="65" spans="1:7">
      <c r="A65" t="s">
        <v>23</v>
      </c>
      <c r="B65" t="s">
        <v>51</v>
      </c>
      <c r="C65" t="s">
        <v>52</v>
      </c>
      <c r="D65" t="s">
        <v>4</v>
      </c>
      <c r="E65" t="s">
        <v>5</v>
      </c>
      <c r="F65" t="s">
        <v>6</v>
      </c>
      <c r="G65" t="s">
        <v>7</v>
      </c>
    </row>
    <row r="66" spans="1:7">
      <c r="A66" t="s">
        <v>59</v>
      </c>
      <c r="B66">
        <v>3</v>
      </c>
      <c r="C66">
        <v>4</v>
      </c>
      <c r="D66">
        <v>7</v>
      </c>
      <c r="E66" s="3">
        <f t="shared" ref="E66:E71" si="1">3/18</f>
        <v>0.16666666666666666</v>
      </c>
      <c r="F66" s="3">
        <f t="shared" ref="F66:F71" si="2">4/39</f>
        <v>0.10256410256410256</v>
      </c>
      <c r="G66" s="3">
        <f>7/47</f>
        <v>0.14893617021276595</v>
      </c>
    </row>
    <row r="67" spans="1:7">
      <c r="A67" t="s">
        <v>25</v>
      </c>
      <c r="B67">
        <v>5</v>
      </c>
      <c r="C67">
        <v>10</v>
      </c>
      <c r="D67">
        <v>15</v>
      </c>
      <c r="E67" s="3">
        <f>5/18</f>
        <v>0.27777777777777779</v>
      </c>
      <c r="F67" s="3">
        <f>10/29</f>
        <v>0.34482758620689657</v>
      </c>
      <c r="G67" s="3">
        <f>15/47</f>
        <v>0.31914893617021278</v>
      </c>
    </row>
    <row r="68" spans="1:7">
      <c r="A68" t="s">
        <v>60</v>
      </c>
      <c r="B68">
        <v>3</v>
      </c>
      <c r="C68">
        <v>8</v>
      </c>
      <c r="D68">
        <v>11</v>
      </c>
      <c r="E68" s="3">
        <f>3/18</f>
        <v>0.16666666666666666</v>
      </c>
      <c r="F68" s="3">
        <f>8/29</f>
        <v>0.27586206896551724</v>
      </c>
      <c r="G68" s="3">
        <f>11/47</f>
        <v>0.23404255319148937</v>
      </c>
    </row>
    <row r="69" spans="1:7">
      <c r="A69" t="s">
        <v>61</v>
      </c>
      <c r="B69">
        <v>7</v>
      </c>
      <c r="C69">
        <v>7</v>
      </c>
      <c r="D69">
        <v>14</v>
      </c>
      <c r="E69" s="3">
        <f>7/18</f>
        <v>0.3888888888888889</v>
      </c>
      <c r="F69" s="3">
        <f>7/29</f>
        <v>0.2413793103448276</v>
      </c>
      <c r="G69" s="3">
        <f>14/47</f>
        <v>0.2978723404255319</v>
      </c>
    </row>
    <row r="70" spans="1:7">
      <c r="A70" t="s">
        <v>62</v>
      </c>
      <c r="B70">
        <v>0</v>
      </c>
      <c r="C70">
        <v>0</v>
      </c>
      <c r="D70">
        <v>0</v>
      </c>
      <c r="E70" s="3">
        <v>0</v>
      </c>
      <c r="F70" s="3">
        <v>0</v>
      </c>
      <c r="G70" s="3">
        <v>0</v>
      </c>
    </row>
    <row r="71" spans="1:7">
      <c r="A71" t="s">
        <v>4</v>
      </c>
      <c r="B71">
        <v>18</v>
      </c>
      <c r="C71">
        <v>29</v>
      </c>
      <c r="D71">
        <v>47</v>
      </c>
      <c r="E71" s="3">
        <v>1</v>
      </c>
      <c r="F71" s="3">
        <v>1</v>
      </c>
      <c r="G71" s="3">
        <v>1</v>
      </c>
    </row>
    <row r="79" spans="1:7">
      <c r="A79" t="s">
        <v>34</v>
      </c>
    </row>
    <row r="80" spans="1:7">
      <c r="A80" t="s">
        <v>63</v>
      </c>
      <c r="B80" t="s">
        <v>51</v>
      </c>
      <c r="C80" t="s">
        <v>52</v>
      </c>
      <c r="D80" t="s">
        <v>4</v>
      </c>
      <c r="E80" t="s">
        <v>5</v>
      </c>
      <c r="F80" t="s">
        <v>6</v>
      </c>
      <c r="G80" t="s">
        <v>7</v>
      </c>
    </row>
    <row r="81" spans="1:7">
      <c r="A81" t="s">
        <v>36</v>
      </c>
      <c r="B81">
        <v>16.670000000000002</v>
      </c>
      <c r="C81">
        <v>16.59</v>
      </c>
      <c r="D81">
        <v>16.62</v>
      </c>
    </row>
    <row r="82" spans="1:7">
      <c r="A82" t="s">
        <v>37</v>
      </c>
      <c r="B82">
        <v>4.9400000000000004</v>
      </c>
      <c r="C82">
        <v>9.1</v>
      </c>
      <c r="D82">
        <v>7.51</v>
      </c>
    </row>
    <row r="83" spans="1:7">
      <c r="A83" t="s">
        <v>64</v>
      </c>
      <c r="B83">
        <v>18</v>
      </c>
      <c r="C83">
        <v>29</v>
      </c>
      <c r="D83">
        <v>47</v>
      </c>
      <c r="E83" s="3">
        <f>18/47</f>
        <v>0.38297872340425532</v>
      </c>
      <c r="F83" s="3">
        <f>29/47</f>
        <v>0.61702127659574468</v>
      </c>
      <c r="G83" s="3">
        <v>1</v>
      </c>
    </row>
    <row r="85" spans="1:7">
      <c r="A85" t="s">
        <v>40</v>
      </c>
      <c r="B85">
        <v>16</v>
      </c>
      <c r="C85">
        <v>21</v>
      </c>
      <c r="D85">
        <v>37</v>
      </c>
      <c r="E85" s="3">
        <f>16/18</f>
        <v>0.88888888888888884</v>
      </c>
      <c r="F85" s="3">
        <f>21/29</f>
        <v>0.72413793103448276</v>
      </c>
      <c r="G85" s="3">
        <f>37/47</f>
        <v>0.78723404255319152</v>
      </c>
    </row>
    <row r="86" spans="1:7">
      <c r="A86" t="s">
        <v>41</v>
      </c>
      <c r="B86">
        <v>2</v>
      </c>
      <c r="C86">
        <v>8</v>
      </c>
      <c r="D86">
        <v>10</v>
      </c>
      <c r="E86" s="3">
        <f>2/18</f>
        <v>0.1111111111111111</v>
      </c>
      <c r="F86" s="3">
        <f>8/29</f>
        <v>0.27586206896551724</v>
      </c>
      <c r="G86" s="3">
        <f>10/47</f>
        <v>0.21276595744680851</v>
      </c>
    </row>
    <row r="87" spans="1:7">
      <c r="E87" s="3"/>
      <c r="F87" s="3"/>
      <c r="G87" s="3"/>
    </row>
    <row r="88" spans="1:7">
      <c r="A88" t="s">
        <v>42</v>
      </c>
      <c r="B88">
        <v>16</v>
      </c>
      <c r="C88">
        <v>23</v>
      </c>
      <c r="D88">
        <v>39</v>
      </c>
      <c r="E88" s="3">
        <f>16/18</f>
        <v>0.88888888888888884</v>
      </c>
      <c r="F88" s="3">
        <f>23/29</f>
        <v>0.7931034482758621</v>
      </c>
      <c r="G88" s="3">
        <f>39/47</f>
        <v>0.82978723404255317</v>
      </c>
    </row>
    <row r="89" spans="1:7">
      <c r="A89" t="s">
        <v>43</v>
      </c>
      <c r="B89">
        <v>2</v>
      </c>
      <c r="C89">
        <v>6</v>
      </c>
      <c r="D89">
        <v>8</v>
      </c>
      <c r="E89" s="3">
        <f>2/18</f>
        <v>0.1111111111111111</v>
      </c>
      <c r="F89" s="3">
        <f>6/29</f>
        <v>0.20689655172413793</v>
      </c>
      <c r="G89" s="3">
        <f>8/47</f>
        <v>0.1702127659574468</v>
      </c>
    </row>
    <row r="90" spans="1:7">
      <c r="E90" s="3"/>
      <c r="F90" s="3"/>
      <c r="G90" s="3"/>
    </row>
    <row r="91" spans="1:7">
      <c r="A91" t="s">
        <v>44</v>
      </c>
      <c r="B91">
        <v>9</v>
      </c>
      <c r="C91">
        <v>14</v>
      </c>
      <c r="D91">
        <v>23</v>
      </c>
      <c r="E91" s="3">
        <f>9/18</f>
        <v>0.5</v>
      </c>
      <c r="F91" s="3">
        <f>14/29</f>
        <v>0.48275862068965519</v>
      </c>
      <c r="G91" s="3">
        <f>23/47</f>
        <v>0.48936170212765956</v>
      </c>
    </row>
    <row r="92" spans="1:7">
      <c r="A92" t="s">
        <v>45</v>
      </c>
      <c r="B92">
        <v>9</v>
      </c>
      <c r="C92">
        <v>15</v>
      </c>
      <c r="D92">
        <v>24</v>
      </c>
      <c r="E92" s="3">
        <f>9/18</f>
        <v>0.5</v>
      </c>
      <c r="F92" s="3">
        <f>15/29</f>
        <v>0.51724137931034486</v>
      </c>
      <c r="G92" s="3">
        <f>24/47</f>
        <v>0.51063829787234039</v>
      </c>
    </row>
    <row r="93" spans="1:7">
      <c r="E93" s="3"/>
      <c r="F93" s="3"/>
      <c r="G93" s="3"/>
    </row>
    <row r="94" spans="1:7">
      <c r="A94" t="s">
        <v>46</v>
      </c>
      <c r="B94">
        <v>18</v>
      </c>
      <c r="C94">
        <v>23</v>
      </c>
      <c r="D94">
        <v>41</v>
      </c>
      <c r="E94" s="3">
        <v>1</v>
      </c>
      <c r="F94" s="3">
        <f>23/29</f>
        <v>0.7931034482758621</v>
      </c>
      <c r="G94" s="3">
        <f>41/47</f>
        <v>0.87234042553191493</v>
      </c>
    </row>
    <row r="95" spans="1:7">
      <c r="A95" t="s">
        <v>47</v>
      </c>
      <c r="B95">
        <v>0</v>
      </c>
      <c r="C95">
        <v>6</v>
      </c>
      <c r="D95">
        <v>6</v>
      </c>
      <c r="E95" s="3">
        <v>0</v>
      </c>
      <c r="F95" s="3">
        <f>6/29</f>
        <v>0.20689655172413793</v>
      </c>
      <c r="G95" s="3">
        <f>6/47</f>
        <v>0.1276595744680851</v>
      </c>
    </row>
    <row r="96" spans="1:7">
      <c r="E96" s="3"/>
      <c r="F96" s="3"/>
      <c r="G96" s="3"/>
    </row>
    <row r="97" spans="1:7">
      <c r="A97" t="s">
        <v>48</v>
      </c>
      <c r="B97">
        <v>6</v>
      </c>
      <c r="C97">
        <v>11</v>
      </c>
      <c r="D97">
        <v>17</v>
      </c>
      <c r="E97" s="3">
        <f>6/18</f>
        <v>0.33333333333333331</v>
      </c>
      <c r="F97" s="3">
        <f>11/29</f>
        <v>0.37931034482758619</v>
      </c>
      <c r="G97" s="3">
        <f>17/47</f>
        <v>0.36170212765957449</v>
      </c>
    </row>
    <row r="98" spans="1:7">
      <c r="A98" t="s">
        <v>65</v>
      </c>
      <c r="B98">
        <v>12</v>
      </c>
      <c r="C98">
        <v>18</v>
      </c>
      <c r="D98">
        <v>30</v>
      </c>
      <c r="E98" s="3">
        <f>12/18</f>
        <v>0.66666666666666663</v>
      </c>
      <c r="F98" s="3">
        <f>18/29</f>
        <v>0.62068965517241381</v>
      </c>
      <c r="G98" s="3">
        <f>30/47</f>
        <v>0.63829787234042556</v>
      </c>
    </row>
  </sheetData>
  <pageMargins left="0.7" right="0.7" top="0.75" bottom="0.75" header="0.3" footer="0.3"/>
  <drawing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CF756-7EC7-49F4-8AD1-189789A08F4E}">
  <dimension ref="A4:H28"/>
  <sheetViews>
    <sheetView topLeftCell="A3" workbookViewId="0">
      <selection activeCell="G4" sqref="G4"/>
    </sheetView>
  </sheetViews>
  <sheetFormatPr defaultRowHeight="15"/>
  <cols>
    <col min="1" max="1" width="19.28515625" bestFit="1" customWidth="1"/>
    <col min="3" max="3" width="5.28515625" customWidth="1"/>
    <col min="4" max="4" width="17.42578125" bestFit="1" customWidth="1"/>
    <col min="7" max="7" width="17.42578125" bestFit="1" customWidth="1"/>
  </cols>
  <sheetData>
    <row r="4" spans="1:8">
      <c r="A4" t="s">
        <v>12</v>
      </c>
      <c r="D4" t="s">
        <v>21</v>
      </c>
      <c r="G4" t="s">
        <v>34</v>
      </c>
    </row>
    <row r="5" spans="1:8">
      <c r="A5" t="s">
        <v>13</v>
      </c>
      <c r="B5" t="s">
        <v>51</v>
      </c>
      <c r="D5" t="s">
        <v>13</v>
      </c>
      <c r="E5" t="s">
        <v>2</v>
      </c>
      <c r="G5" t="s">
        <v>63</v>
      </c>
      <c r="H5" t="s">
        <v>51</v>
      </c>
    </row>
    <row r="6" spans="1:8">
      <c r="A6" t="s">
        <v>56</v>
      </c>
      <c r="B6">
        <v>1</v>
      </c>
      <c r="D6" t="s">
        <v>56</v>
      </c>
      <c r="E6">
        <v>0</v>
      </c>
      <c r="G6" t="s">
        <v>36</v>
      </c>
      <c r="H6">
        <v>16</v>
      </c>
    </row>
    <row r="7" spans="1:8">
      <c r="A7" t="s">
        <v>17</v>
      </c>
      <c r="B7">
        <v>0</v>
      </c>
      <c r="D7" t="s">
        <v>17</v>
      </c>
      <c r="E7">
        <v>0</v>
      </c>
      <c r="G7" t="s">
        <v>37</v>
      </c>
      <c r="H7">
        <v>4</v>
      </c>
    </row>
    <row r="8" spans="1:8">
      <c r="A8" t="s">
        <v>57</v>
      </c>
      <c r="B8">
        <v>0</v>
      </c>
      <c r="D8" t="s">
        <v>57</v>
      </c>
      <c r="E8">
        <v>1</v>
      </c>
      <c r="G8" t="s">
        <v>64</v>
      </c>
      <c r="H8">
        <v>1</v>
      </c>
    </row>
    <row r="9" spans="1:8">
      <c r="A9" t="s">
        <v>58</v>
      </c>
      <c r="B9">
        <v>0</v>
      </c>
      <c r="D9" t="s">
        <v>58</v>
      </c>
      <c r="E9">
        <v>0</v>
      </c>
    </row>
    <row r="10" spans="1:8">
      <c r="A10" t="s">
        <v>20</v>
      </c>
      <c r="B10">
        <v>0</v>
      </c>
      <c r="D10" t="s">
        <v>20</v>
      </c>
      <c r="E10">
        <v>0</v>
      </c>
      <c r="G10" t="s">
        <v>40</v>
      </c>
      <c r="H10">
        <v>1</v>
      </c>
    </row>
    <row r="11" spans="1:8">
      <c r="A11" t="s">
        <v>4</v>
      </c>
      <c r="B11">
        <v>1</v>
      </c>
      <c r="D11" t="s">
        <v>4</v>
      </c>
      <c r="E11">
        <v>1</v>
      </c>
      <c r="G11" t="s">
        <v>41</v>
      </c>
      <c r="H11">
        <v>0</v>
      </c>
    </row>
    <row r="13" spans="1:8">
      <c r="A13" t="s">
        <v>22</v>
      </c>
      <c r="D13" t="s">
        <v>29</v>
      </c>
      <c r="G13" t="s">
        <v>42</v>
      </c>
      <c r="H13">
        <v>1</v>
      </c>
    </row>
    <row r="14" spans="1:8">
      <c r="A14" t="s">
        <v>23</v>
      </c>
      <c r="B14" t="s">
        <v>2</v>
      </c>
      <c r="D14" t="s">
        <v>23</v>
      </c>
      <c r="E14" t="s">
        <v>2</v>
      </c>
      <c r="G14" t="s">
        <v>43</v>
      </c>
      <c r="H14">
        <v>0</v>
      </c>
    </row>
    <row r="15" spans="1:8">
      <c r="A15" t="s">
        <v>59</v>
      </c>
      <c r="B15">
        <v>0</v>
      </c>
      <c r="D15" t="s">
        <v>59</v>
      </c>
      <c r="E15">
        <v>0</v>
      </c>
    </row>
    <row r="16" spans="1:8">
      <c r="A16" t="s">
        <v>25</v>
      </c>
      <c r="B16">
        <v>0</v>
      </c>
      <c r="D16" t="s">
        <v>25</v>
      </c>
      <c r="E16">
        <v>0</v>
      </c>
      <c r="G16" t="s">
        <v>44</v>
      </c>
      <c r="H16">
        <v>1</v>
      </c>
    </row>
    <row r="17" spans="1:8">
      <c r="A17" t="s">
        <v>60</v>
      </c>
      <c r="B17">
        <v>1</v>
      </c>
      <c r="D17" t="s">
        <v>60</v>
      </c>
      <c r="E17">
        <v>0</v>
      </c>
      <c r="G17" t="s">
        <v>45</v>
      </c>
      <c r="H17">
        <v>0</v>
      </c>
    </row>
    <row r="18" spans="1:8">
      <c r="A18" t="s">
        <v>61</v>
      </c>
      <c r="B18">
        <v>0</v>
      </c>
      <c r="D18" t="s">
        <v>61</v>
      </c>
      <c r="E18">
        <v>1</v>
      </c>
    </row>
    <row r="19" spans="1:8">
      <c r="A19" t="s">
        <v>62</v>
      </c>
      <c r="B19">
        <v>0</v>
      </c>
      <c r="D19" t="s">
        <v>62</v>
      </c>
      <c r="E19">
        <v>0</v>
      </c>
      <c r="G19" t="s">
        <v>46</v>
      </c>
      <c r="H19">
        <v>1</v>
      </c>
    </row>
    <row r="20" spans="1:8">
      <c r="A20" t="s">
        <v>4</v>
      </c>
      <c r="B20">
        <v>1</v>
      </c>
      <c r="D20" t="s">
        <v>4</v>
      </c>
      <c r="E20">
        <v>1</v>
      </c>
      <c r="G20" t="s">
        <v>47</v>
      </c>
      <c r="H20">
        <v>0</v>
      </c>
    </row>
    <row r="22" spans="1:8">
      <c r="A22" t="s">
        <v>50</v>
      </c>
      <c r="G22" t="s">
        <v>48</v>
      </c>
      <c r="H22">
        <v>0</v>
      </c>
    </row>
    <row r="23" spans="1:8">
      <c r="A23" t="s">
        <v>1</v>
      </c>
      <c r="B23" t="s">
        <v>2</v>
      </c>
      <c r="G23" t="s">
        <v>65</v>
      </c>
      <c r="H23">
        <v>1</v>
      </c>
    </row>
    <row r="24" spans="1:8">
      <c r="A24" t="s">
        <v>8</v>
      </c>
      <c r="B24">
        <v>0</v>
      </c>
    </row>
    <row r="25" spans="1:8">
      <c r="A25" t="s">
        <v>54</v>
      </c>
      <c r="B25">
        <v>0</v>
      </c>
    </row>
    <row r="26" spans="1:8">
      <c r="A26" t="s">
        <v>55</v>
      </c>
      <c r="B26">
        <v>0</v>
      </c>
    </row>
    <row r="27" spans="1:8">
      <c r="A27" t="s">
        <v>11</v>
      </c>
      <c r="B27">
        <v>1</v>
      </c>
    </row>
    <row r="28" spans="1:8">
      <c r="A28" t="s">
        <v>4</v>
      </c>
      <c r="B28">
        <v>1</v>
      </c>
    </row>
  </sheetData>
  <pageMargins left="0.7" right="0.7" top="0.75" bottom="0.75" header="0.3" footer="0.3"/>
  <drawing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DA9D-F7C2-4488-B37C-F512DC78E7E1}">
  <dimension ref="A1:R213"/>
  <sheetViews>
    <sheetView topLeftCell="A172" workbookViewId="0">
      <selection activeCell="T256" sqref="T256"/>
    </sheetView>
  </sheetViews>
  <sheetFormatPr defaultRowHeight="15"/>
  <cols>
    <col min="1" max="1" width="19.28515625" bestFit="1" customWidth="1"/>
    <col min="9" max="9" width="19.28515625" bestFit="1" customWidth="1"/>
    <col min="17" max="17" width="19.28515625" bestFit="1" customWidth="1"/>
    <col min="22" max="22" width="10.7109375" bestFit="1" customWidth="1"/>
    <col min="24" max="24" width="11.28515625" bestFit="1" customWidth="1"/>
    <col min="25" max="25" width="12.85546875" bestFit="1" customWidth="1"/>
    <col min="26" max="26" width="10" bestFit="1" customWidth="1"/>
  </cols>
  <sheetData>
    <row r="1" spans="1:18">
      <c r="I1" t="s">
        <v>67</v>
      </c>
      <c r="J1" t="s">
        <v>68</v>
      </c>
      <c r="K1" t="s">
        <v>51</v>
      </c>
      <c r="L1" t="s">
        <v>52</v>
      </c>
      <c r="M1" t="s">
        <v>4</v>
      </c>
      <c r="N1" t="s">
        <v>69</v>
      </c>
      <c r="O1" t="s">
        <v>70</v>
      </c>
      <c r="P1" t="s">
        <v>7</v>
      </c>
    </row>
    <row r="2" spans="1:18">
      <c r="J2" t="s">
        <v>71</v>
      </c>
      <c r="K2">
        <v>15</v>
      </c>
      <c r="L2">
        <v>23</v>
      </c>
      <c r="M2">
        <v>38</v>
      </c>
      <c r="N2" s="3">
        <f>15/34</f>
        <v>0.44117647058823528</v>
      </c>
      <c r="O2" s="3">
        <f>23/52</f>
        <v>0.44230769230769229</v>
      </c>
      <c r="P2" s="3">
        <f>38/86</f>
        <v>0.44186046511627908</v>
      </c>
    </row>
    <row r="3" spans="1:18">
      <c r="J3" t="s">
        <v>72</v>
      </c>
      <c r="K3">
        <v>18</v>
      </c>
      <c r="L3">
        <v>29</v>
      </c>
      <c r="M3">
        <v>47</v>
      </c>
      <c r="N3" s="3">
        <f>18/34</f>
        <v>0.52941176470588236</v>
      </c>
      <c r="O3" s="3">
        <f>29/52</f>
        <v>0.55769230769230771</v>
      </c>
      <c r="P3" s="3">
        <f>47/86</f>
        <v>0.54651162790697672</v>
      </c>
    </row>
    <row r="4" spans="1:18">
      <c r="J4" t="s">
        <v>73</v>
      </c>
      <c r="K4">
        <v>1</v>
      </c>
      <c r="L4">
        <v>0</v>
      </c>
      <c r="M4">
        <v>1</v>
      </c>
      <c r="N4" s="3">
        <f>1/34</f>
        <v>2.9411764705882353E-2</v>
      </c>
      <c r="O4" s="3">
        <v>0</v>
      </c>
      <c r="P4" s="3">
        <f>1/86</f>
        <v>1.1627906976744186E-2</v>
      </c>
    </row>
    <row r="5" spans="1:18">
      <c r="J5" t="s">
        <v>4</v>
      </c>
      <c r="K5">
        <v>34</v>
      </c>
      <c r="L5">
        <v>52</v>
      </c>
      <c r="M5">
        <v>86</v>
      </c>
      <c r="N5" s="3">
        <v>1</v>
      </c>
      <c r="O5" s="3">
        <v>1</v>
      </c>
      <c r="P5" s="3">
        <v>1</v>
      </c>
    </row>
    <row r="7" spans="1:18">
      <c r="A7" t="s">
        <v>74</v>
      </c>
      <c r="I7" t="s">
        <v>54</v>
      </c>
      <c r="Q7" t="s">
        <v>75</v>
      </c>
    </row>
    <row r="8" spans="1:18">
      <c r="A8" t="s">
        <v>1</v>
      </c>
      <c r="B8" t="s">
        <v>51</v>
      </c>
      <c r="C8" t="s">
        <v>52</v>
      </c>
      <c r="D8" t="s">
        <v>4</v>
      </c>
      <c r="E8" t="s">
        <v>5</v>
      </c>
      <c r="F8" t="s">
        <v>6</v>
      </c>
      <c r="G8" t="s">
        <v>53</v>
      </c>
      <c r="I8" t="s">
        <v>1</v>
      </c>
      <c r="J8" t="s">
        <v>51</v>
      </c>
      <c r="K8" t="s">
        <v>52</v>
      </c>
      <c r="L8" t="s">
        <v>4</v>
      </c>
      <c r="M8" t="s">
        <v>5</v>
      </c>
      <c r="N8" t="s">
        <v>6</v>
      </c>
      <c r="O8" t="s">
        <v>53</v>
      </c>
      <c r="Q8" t="s">
        <v>1</v>
      </c>
      <c r="R8" t="s">
        <v>2</v>
      </c>
    </row>
    <row r="9" spans="1:18">
      <c r="A9" t="s">
        <v>8</v>
      </c>
      <c r="B9">
        <v>10</v>
      </c>
      <c r="C9">
        <v>3</v>
      </c>
      <c r="D9">
        <v>13</v>
      </c>
      <c r="E9" s="3">
        <f>10/15</f>
        <v>0.66666666666666663</v>
      </c>
      <c r="F9" s="3">
        <f>3/23</f>
        <v>0.13043478260869565</v>
      </c>
      <c r="G9" s="3">
        <f>13/38</f>
        <v>0.34210526315789475</v>
      </c>
      <c r="I9" t="s">
        <v>8</v>
      </c>
      <c r="J9">
        <v>4</v>
      </c>
      <c r="K9">
        <v>3</v>
      </c>
      <c r="L9">
        <f>Table12254[[#This Row],[Males]] + Table12254[[#This Row],[Females]]</f>
        <v>7</v>
      </c>
      <c r="M9" s="3">
        <f>4/18</f>
        <v>0.22222222222222221</v>
      </c>
      <c r="N9" s="3">
        <f>3/29</f>
        <v>0.10344827586206896</v>
      </c>
      <c r="O9" s="3">
        <f>7/47</f>
        <v>0.14893617021276595</v>
      </c>
      <c r="Q9" t="s">
        <v>8</v>
      </c>
      <c r="R9">
        <v>0</v>
      </c>
    </row>
    <row r="10" spans="1:18">
      <c r="A10" t="s">
        <v>54</v>
      </c>
      <c r="B10">
        <v>4</v>
      </c>
      <c r="C10">
        <v>12</v>
      </c>
      <c r="D10">
        <v>16</v>
      </c>
      <c r="E10" s="3">
        <f>4/15</f>
        <v>0.26666666666666666</v>
      </c>
      <c r="F10" s="3">
        <f>12/23</f>
        <v>0.52173913043478259</v>
      </c>
      <c r="G10" s="3">
        <f>16/38</f>
        <v>0.42105263157894735</v>
      </c>
      <c r="I10" t="s">
        <v>54</v>
      </c>
      <c r="J10">
        <v>12</v>
      </c>
      <c r="K10">
        <v>17</v>
      </c>
      <c r="L10">
        <f>Table12254[[#This Row],[Males]] + Table12254[[#This Row],[Females]]</f>
        <v>29</v>
      </c>
      <c r="M10" s="3">
        <f>12/18</f>
        <v>0.66666666666666663</v>
      </c>
      <c r="N10" s="3">
        <f>17/29</f>
        <v>0.58620689655172409</v>
      </c>
      <c r="O10" s="3">
        <f>29/47</f>
        <v>0.61702127659574468</v>
      </c>
      <c r="Q10" t="s">
        <v>54</v>
      </c>
      <c r="R10">
        <v>0</v>
      </c>
    </row>
    <row r="11" spans="1:18">
      <c r="A11" t="s">
        <v>55</v>
      </c>
      <c r="B11">
        <v>0</v>
      </c>
      <c r="C11">
        <v>6</v>
      </c>
      <c r="D11">
        <v>6</v>
      </c>
      <c r="E11" s="3">
        <v>0</v>
      </c>
      <c r="F11" s="3">
        <f>6/23</f>
        <v>0.2608695652173913</v>
      </c>
      <c r="G11" s="3">
        <f>6/38</f>
        <v>0.15789473684210525</v>
      </c>
      <c r="I11" t="s">
        <v>55</v>
      </c>
      <c r="J11">
        <v>2</v>
      </c>
      <c r="K11">
        <v>6</v>
      </c>
      <c r="L11">
        <f>Table12254[[#This Row],[Males]] + Table12254[[#This Row],[Females]]</f>
        <v>8</v>
      </c>
      <c r="M11" s="3">
        <f>2/18</f>
        <v>0.1111111111111111</v>
      </c>
      <c r="N11" s="3">
        <f>6/29</f>
        <v>0.20689655172413793</v>
      </c>
      <c r="O11" s="3">
        <f>8/47</f>
        <v>0.1702127659574468</v>
      </c>
      <c r="Q11" t="s">
        <v>55</v>
      </c>
      <c r="R11">
        <v>0</v>
      </c>
    </row>
    <row r="12" spans="1:18">
      <c r="A12" t="s">
        <v>11</v>
      </c>
      <c r="B12">
        <v>1</v>
      </c>
      <c r="C12">
        <v>2</v>
      </c>
      <c r="D12">
        <v>3</v>
      </c>
      <c r="E12" s="3">
        <f>1/15</f>
        <v>6.6666666666666666E-2</v>
      </c>
      <c r="F12" s="3">
        <f>2/23</f>
        <v>8.6956521739130432E-2</v>
      </c>
      <c r="G12" s="3">
        <f>3/38</f>
        <v>7.8947368421052627E-2</v>
      </c>
      <c r="I12" t="s">
        <v>11</v>
      </c>
      <c r="J12">
        <v>0</v>
      </c>
      <c r="K12">
        <v>3</v>
      </c>
      <c r="L12">
        <f>Table12254[[#This Row],[Males]] + Table12254[[#This Row],[Females]]</f>
        <v>3</v>
      </c>
      <c r="M12" s="3">
        <v>0</v>
      </c>
      <c r="N12" s="3">
        <f>3/29</f>
        <v>0.10344827586206896</v>
      </c>
      <c r="O12" s="3">
        <f>3/47</f>
        <v>6.3829787234042548E-2</v>
      </c>
      <c r="Q12" t="s">
        <v>11</v>
      </c>
      <c r="R12">
        <v>1</v>
      </c>
    </row>
    <row r="13" spans="1:18">
      <c r="A13" t="s">
        <v>4</v>
      </c>
      <c r="B13">
        <v>15</v>
      </c>
      <c r="C13">
        <v>23</v>
      </c>
      <c r="D13">
        <v>38</v>
      </c>
      <c r="E13" s="3">
        <v>1</v>
      </c>
      <c r="F13" s="3">
        <v>1</v>
      </c>
      <c r="G13" s="3">
        <v>1</v>
      </c>
      <c r="I13" t="s">
        <v>4</v>
      </c>
      <c r="J13">
        <v>18</v>
      </c>
      <c r="K13">
        <v>29</v>
      </c>
      <c r="L13">
        <f>Table12254[[#This Row],[Males]] + Table12254[[#This Row],[Females]]</f>
        <v>47</v>
      </c>
      <c r="M13" s="3">
        <v>1</v>
      </c>
      <c r="N13" s="3">
        <v>1</v>
      </c>
      <c r="O13" s="3">
        <v>1</v>
      </c>
      <c r="Q13" t="s">
        <v>4</v>
      </c>
      <c r="R13">
        <v>1</v>
      </c>
    </row>
    <row r="45" spans="1:18">
      <c r="A45" t="s">
        <v>76</v>
      </c>
      <c r="I45" t="s">
        <v>77</v>
      </c>
      <c r="Q45" t="s">
        <v>78</v>
      </c>
    </row>
    <row r="46" spans="1:18">
      <c r="A46" t="s">
        <v>23</v>
      </c>
      <c r="B46" t="s">
        <v>51</v>
      </c>
      <c r="C46" t="s">
        <v>52</v>
      </c>
      <c r="D46" t="s">
        <v>4</v>
      </c>
      <c r="E46" t="s">
        <v>5</v>
      </c>
      <c r="F46" t="s">
        <v>6</v>
      </c>
      <c r="G46" t="s">
        <v>7</v>
      </c>
      <c r="I46" t="s">
        <v>23</v>
      </c>
      <c r="J46" t="s">
        <v>51</v>
      </c>
      <c r="K46" t="s">
        <v>52</v>
      </c>
      <c r="L46" t="s">
        <v>4</v>
      </c>
      <c r="M46" t="s">
        <v>5</v>
      </c>
      <c r="N46" t="s">
        <v>6</v>
      </c>
      <c r="O46" t="s">
        <v>7</v>
      </c>
      <c r="Q46" t="s">
        <v>23</v>
      </c>
      <c r="R46" t="s">
        <v>2</v>
      </c>
    </row>
    <row r="47" spans="1:18">
      <c r="A47" t="s">
        <v>59</v>
      </c>
      <c r="B47">
        <v>4</v>
      </c>
      <c r="C47">
        <v>7</v>
      </c>
      <c r="D47">
        <f t="shared" ref="D47:D52" si="0">C47 + B47</f>
        <v>11</v>
      </c>
      <c r="E47" s="3">
        <f>4/15</f>
        <v>0.26666666666666666</v>
      </c>
      <c r="F47" s="3">
        <f>7/23</f>
        <v>0.30434782608695654</v>
      </c>
      <c r="G47" s="3">
        <f>11/38</f>
        <v>0.28947368421052633</v>
      </c>
      <c r="I47" t="s">
        <v>59</v>
      </c>
      <c r="J47">
        <v>1</v>
      </c>
      <c r="K47">
        <v>5</v>
      </c>
      <c r="L47">
        <f>Table21287[[#This Row],[Males]] + Table21287[[#This Row],[Females]]</f>
        <v>6</v>
      </c>
      <c r="M47" s="3">
        <f>1/18</f>
        <v>5.5555555555555552E-2</v>
      </c>
      <c r="N47" s="3">
        <f>5/29</f>
        <v>0.17241379310344829</v>
      </c>
      <c r="O47" s="3">
        <f>6/47</f>
        <v>0.1276595744680851</v>
      </c>
      <c r="Q47" t="s">
        <v>59</v>
      </c>
      <c r="R47">
        <v>0</v>
      </c>
    </row>
    <row r="48" spans="1:18">
      <c r="A48" t="s">
        <v>25</v>
      </c>
      <c r="B48">
        <v>4</v>
      </c>
      <c r="C48">
        <v>9</v>
      </c>
      <c r="D48">
        <f t="shared" si="0"/>
        <v>13</v>
      </c>
      <c r="E48" s="3">
        <f>4/15</f>
        <v>0.26666666666666666</v>
      </c>
      <c r="F48" s="3">
        <f>9/23</f>
        <v>0.39130434782608697</v>
      </c>
      <c r="G48" s="3">
        <f>13/38</f>
        <v>0.34210526315789475</v>
      </c>
      <c r="I48" t="s">
        <v>25</v>
      </c>
      <c r="J48">
        <v>7</v>
      </c>
      <c r="K48">
        <v>10</v>
      </c>
      <c r="L48">
        <f>Table21287[[#This Row],[Males]] + Table21287[[#This Row],[Females]]</f>
        <v>17</v>
      </c>
      <c r="M48" s="3">
        <f>7/18</f>
        <v>0.3888888888888889</v>
      </c>
      <c r="N48" s="3">
        <f>10/29</f>
        <v>0.34482758620689657</v>
      </c>
      <c r="O48" s="3">
        <f>17/47</f>
        <v>0.36170212765957449</v>
      </c>
      <c r="Q48" t="s">
        <v>25</v>
      </c>
      <c r="R48">
        <v>0</v>
      </c>
    </row>
    <row r="49" spans="1:18">
      <c r="A49" t="s">
        <v>60</v>
      </c>
      <c r="B49">
        <v>2</v>
      </c>
      <c r="C49">
        <v>4</v>
      </c>
      <c r="D49">
        <f t="shared" si="0"/>
        <v>6</v>
      </c>
      <c r="E49" s="3">
        <f>2/15</f>
        <v>0.13333333333333333</v>
      </c>
      <c r="F49" s="3">
        <f>4/23</f>
        <v>0.17391304347826086</v>
      </c>
      <c r="G49" s="3">
        <f>6/38</f>
        <v>0.15789473684210525</v>
      </c>
      <c r="I49" t="s">
        <v>60</v>
      </c>
      <c r="J49">
        <v>7</v>
      </c>
      <c r="K49">
        <v>4</v>
      </c>
      <c r="L49">
        <f>Table21287[[#This Row],[Males]] + Table21287[[#This Row],[Females]]</f>
        <v>11</v>
      </c>
      <c r="M49" s="3">
        <f>7/18</f>
        <v>0.3888888888888889</v>
      </c>
      <c r="N49" s="3">
        <f>4/29</f>
        <v>0.13793103448275862</v>
      </c>
      <c r="O49" s="3">
        <f>11/47</f>
        <v>0.23404255319148937</v>
      </c>
      <c r="Q49" t="s">
        <v>60</v>
      </c>
      <c r="R49">
        <v>1</v>
      </c>
    </row>
    <row r="50" spans="1:18">
      <c r="A50" t="s">
        <v>61</v>
      </c>
      <c r="B50">
        <v>5</v>
      </c>
      <c r="C50">
        <v>3</v>
      </c>
      <c r="D50">
        <f t="shared" si="0"/>
        <v>8</v>
      </c>
      <c r="E50" s="3">
        <f>5/15</f>
        <v>0.33333333333333331</v>
      </c>
      <c r="F50" s="3">
        <f>3/23</f>
        <v>0.13043478260869565</v>
      </c>
      <c r="G50" s="3">
        <f>8/38</f>
        <v>0.21052631578947367</v>
      </c>
      <c r="I50" t="s">
        <v>61</v>
      </c>
      <c r="J50">
        <v>3</v>
      </c>
      <c r="K50">
        <v>10</v>
      </c>
      <c r="L50">
        <f>Table21287[[#This Row],[Males]] + Table21287[[#This Row],[Females]]</f>
        <v>13</v>
      </c>
      <c r="M50" s="3">
        <f>3/18</f>
        <v>0.16666666666666666</v>
      </c>
      <c r="N50" s="3">
        <f>10/29</f>
        <v>0.34482758620689657</v>
      </c>
      <c r="O50" s="3">
        <f>13/47</f>
        <v>0.27659574468085107</v>
      </c>
      <c r="Q50" t="s">
        <v>61</v>
      </c>
      <c r="R50">
        <v>0</v>
      </c>
    </row>
    <row r="51" spans="1:18">
      <c r="A51" t="s">
        <v>62</v>
      </c>
      <c r="B51">
        <v>0</v>
      </c>
      <c r="C51">
        <v>0</v>
      </c>
      <c r="D51">
        <f t="shared" si="0"/>
        <v>0</v>
      </c>
      <c r="E51" s="3">
        <v>0</v>
      </c>
      <c r="F51" s="3">
        <v>0</v>
      </c>
      <c r="G51" s="3">
        <v>0</v>
      </c>
      <c r="I51" t="s">
        <v>62</v>
      </c>
      <c r="J51">
        <v>0</v>
      </c>
      <c r="K51">
        <v>0</v>
      </c>
      <c r="L51">
        <f>Table21287[[#This Row],[Males]] + Table21287[[#This Row],[Females]]</f>
        <v>0</v>
      </c>
      <c r="M51" s="3">
        <v>0</v>
      </c>
      <c r="N51" s="3">
        <v>0</v>
      </c>
      <c r="O51" s="3">
        <v>0</v>
      </c>
      <c r="Q51" t="s">
        <v>62</v>
      </c>
      <c r="R51">
        <v>0</v>
      </c>
    </row>
    <row r="52" spans="1:18">
      <c r="A52" t="s">
        <v>4</v>
      </c>
      <c r="B52">
        <v>15</v>
      </c>
      <c r="C52">
        <v>23</v>
      </c>
      <c r="D52">
        <f t="shared" si="0"/>
        <v>38</v>
      </c>
      <c r="E52" s="3">
        <v>1</v>
      </c>
      <c r="F52" s="3">
        <v>1</v>
      </c>
      <c r="G52" s="3">
        <v>1</v>
      </c>
      <c r="I52" t="s">
        <v>4</v>
      </c>
      <c r="J52">
        <v>18</v>
      </c>
      <c r="K52">
        <v>29</v>
      </c>
      <c r="L52">
        <f>Table21287[[#This Row],[Males]] + Table21287[[#This Row],[Females]]</f>
        <v>47</v>
      </c>
      <c r="M52" s="3">
        <v>1</v>
      </c>
      <c r="N52" s="3">
        <v>1</v>
      </c>
      <c r="O52" s="3">
        <v>1</v>
      </c>
      <c r="Q52" t="s">
        <v>4</v>
      </c>
      <c r="R52">
        <v>1</v>
      </c>
    </row>
    <row r="83" spans="1:18">
      <c r="A83" t="s">
        <v>79</v>
      </c>
      <c r="I83" t="s">
        <v>80</v>
      </c>
      <c r="Q83" t="s">
        <v>29</v>
      </c>
    </row>
    <row r="84" spans="1:18">
      <c r="A84" t="s">
        <v>23</v>
      </c>
      <c r="B84" t="s">
        <v>51</v>
      </c>
      <c r="C84" t="s">
        <v>52</v>
      </c>
      <c r="D84" t="s">
        <v>4</v>
      </c>
      <c r="E84" t="s">
        <v>5</v>
      </c>
      <c r="F84" t="s">
        <v>6</v>
      </c>
      <c r="G84" t="s">
        <v>7</v>
      </c>
      <c r="I84" t="s">
        <v>23</v>
      </c>
      <c r="J84" t="s">
        <v>51</v>
      </c>
      <c r="K84" t="s">
        <v>52</v>
      </c>
      <c r="L84" t="s">
        <v>4</v>
      </c>
      <c r="M84" t="s">
        <v>5</v>
      </c>
      <c r="N84" t="s">
        <v>6</v>
      </c>
      <c r="O84" t="s">
        <v>7</v>
      </c>
      <c r="Q84" t="s">
        <v>23</v>
      </c>
      <c r="R84" t="s">
        <v>2</v>
      </c>
    </row>
    <row r="85" spans="1:18">
      <c r="A85" t="s">
        <v>59</v>
      </c>
      <c r="B85">
        <v>3</v>
      </c>
      <c r="C85">
        <v>6</v>
      </c>
      <c r="D85">
        <f t="shared" ref="D85:D90" si="1">C85 + B85</f>
        <v>9</v>
      </c>
      <c r="E85" s="3">
        <f>3/15</f>
        <v>0.2</v>
      </c>
      <c r="F85" s="3">
        <f>6/23</f>
        <v>0.2608695652173913</v>
      </c>
      <c r="G85" s="3">
        <f>9/23</f>
        <v>0.39130434782608697</v>
      </c>
      <c r="I85" t="s">
        <v>59</v>
      </c>
      <c r="J85">
        <v>3</v>
      </c>
      <c r="K85">
        <v>4</v>
      </c>
      <c r="L85">
        <v>7</v>
      </c>
      <c r="M85" s="3">
        <f t="shared" ref="M85:M90" si="2">3/18</f>
        <v>0.16666666666666666</v>
      </c>
      <c r="N85" s="3">
        <f t="shared" ref="N85:N90" si="3">4/39</f>
        <v>0.10256410256410256</v>
      </c>
      <c r="O85" s="3">
        <f>7/47</f>
        <v>0.14893617021276595</v>
      </c>
      <c r="Q85" t="s">
        <v>59</v>
      </c>
      <c r="R85">
        <v>0</v>
      </c>
    </row>
    <row r="86" spans="1:18">
      <c r="A86" t="s">
        <v>25</v>
      </c>
      <c r="B86">
        <v>4</v>
      </c>
      <c r="C86">
        <v>10</v>
      </c>
      <c r="D86">
        <f t="shared" si="1"/>
        <v>14</v>
      </c>
      <c r="E86" s="3">
        <f>4/15</f>
        <v>0.26666666666666666</v>
      </c>
      <c r="F86" s="3">
        <f>10/23</f>
        <v>0.43478260869565216</v>
      </c>
      <c r="G86" s="3">
        <f>14/23</f>
        <v>0.60869565217391308</v>
      </c>
      <c r="I86" t="s">
        <v>25</v>
      </c>
      <c r="J86">
        <v>5</v>
      </c>
      <c r="K86">
        <v>10</v>
      </c>
      <c r="L86">
        <v>15</v>
      </c>
      <c r="M86" s="3">
        <f>5/18</f>
        <v>0.27777777777777779</v>
      </c>
      <c r="N86" s="3">
        <f>10/29</f>
        <v>0.34482758620689657</v>
      </c>
      <c r="O86" s="3">
        <f>15/47</f>
        <v>0.31914893617021278</v>
      </c>
      <c r="Q86" t="s">
        <v>25</v>
      </c>
      <c r="R86">
        <v>0</v>
      </c>
    </row>
    <row r="87" spans="1:18">
      <c r="A87" t="s">
        <v>60</v>
      </c>
      <c r="B87">
        <v>4</v>
      </c>
      <c r="C87">
        <v>5</v>
      </c>
      <c r="D87">
        <f t="shared" si="1"/>
        <v>9</v>
      </c>
      <c r="E87" s="3">
        <f>4/15</f>
        <v>0.26666666666666666</v>
      </c>
      <c r="F87" s="3">
        <f>5/23</f>
        <v>0.21739130434782608</v>
      </c>
      <c r="G87" s="3">
        <f>9/23</f>
        <v>0.39130434782608697</v>
      </c>
      <c r="I87" t="s">
        <v>60</v>
      </c>
      <c r="J87">
        <v>3</v>
      </c>
      <c r="K87">
        <v>8</v>
      </c>
      <c r="L87">
        <v>11</v>
      </c>
      <c r="M87" s="3">
        <f>3/18</f>
        <v>0.16666666666666666</v>
      </c>
      <c r="N87" s="3">
        <f>8/29</f>
        <v>0.27586206896551724</v>
      </c>
      <c r="O87" s="3">
        <f>11/47</f>
        <v>0.23404255319148937</v>
      </c>
      <c r="Q87" t="s">
        <v>60</v>
      </c>
      <c r="R87">
        <v>0</v>
      </c>
    </row>
    <row r="88" spans="1:18">
      <c r="A88" t="s">
        <v>61</v>
      </c>
      <c r="B88">
        <v>4</v>
      </c>
      <c r="C88">
        <v>2</v>
      </c>
      <c r="D88">
        <f t="shared" si="1"/>
        <v>6</v>
      </c>
      <c r="E88" s="3">
        <f>4/15</f>
        <v>0.26666666666666666</v>
      </c>
      <c r="F88" s="3">
        <f>2/23</f>
        <v>8.6956521739130432E-2</v>
      </c>
      <c r="G88" s="3">
        <f>6/23</f>
        <v>0.2608695652173913</v>
      </c>
      <c r="I88" t="s">
        <v>61</v>
      </c>
      <c r="J88">
        <v>7</v>
      </c>
      <c r="K88">
        <v>7</v>
      </c>
      <c r="L88">
        <v>14</v>
      </c>
      <c r="M88" s="3">
        <f>7/18</f>
        <v>0.3888888888888889</v>
      </c>
      <c r="N88" s="3">
        <f>7/29</f>
        <v>0.2413793103448276</v>
      </c>
      <c r="O88" s="3">
        <f>14/47</f>
        <v>0.2978723404255319</v>
      </c>
      <c r="Q88" t="s">
        <v>61</v>
      </c>
      <c r="R88">
        <v>1</v>
      </c>
    </row>
    <row r="89" spans="1:18">
      <c r="A89" t="s">
        <v>62</v>
      </c>
      <c r="B89">
        <v>0</v>
      </c>
      <c r="C89">
        <v>0</v>
      </c>
      <c r="D89">
        <f t="shared" si="1"/>
        <v>0</v>
      </c>
      <c r="E89" s="3">
        <v>0</v>
      </c>
      <c r="F89" s="3">
        <v>0</v>
      </c>
      <c r="G89" s="3">
        <v>0</v>
      </c>
      <c r="I89" t="s">
        <v>62</v>
      </c>
      <c r="J89">
        <v>0</v>
      </c>
      <c r="K89">
        <v>0</v>
      </c>
      <c r="L89">
        <v>0</v>
      </c>
      <c r="M89" s="3">
        <v>0</v>
      </c>
      <c r="N89" s="3">
        <v>0</v>
      </c>
      <c r="O89" s="3">
        <v>0</v>
      </c>
      <c r="Q89" t="s">
        <v>62</v>
      </c>
      <c r="R89">
        <v>0</v>
      </c>
    </row>
    <row r="90" spans="1:18">
      <c r="A90" t="s">
        <v>4</v>
      </c>
      <c r="B90">
        <v>15</v>
      </c>
      <c r="C90">
        <v>23</v>
      </c>
      <c r="D90">
        <f t="shared" si="1"/>
        <v>38</v>
      </c>
      <c r="E90" s="3">
        <v>1</v>
      </c>
      <c r="F90" s="3">
        <v>1</v>
      </c>
      <c r="G90" s="3">
        <v>1</v>
      </c>
      <c r="I90" t="s">
        <v>4</v>
      </c>
      <c r="J90">
        <v>18</v>
      </c>
      <c r="K90">
        <v>29</v>
      </c>
      <c r="L90">
        <v>47</v>
      </c>
      <c r="M90" s="3">
        <v>1</v>
      </c>
      <c r="N90" s="3">
        <v>1</v>
      </c>
      <c r="O90" s="3">
        <v>1</v>
      </c>
      <c r="Q90" t="s">
        <v>4</v>
      </c>
      <c r="R90">
        <v>1</v>
      </c>
    </row>
    <row r="121" spans="1:18">
      <c r="A121" t="s">
        <v>81</v>
      </c>
      <c r="I121" t="s">
        <v>82</v>
      </c>
      <c r="Q121" t="s">
        <v>83</v>
      </c>
    </row>
    <row r="122" spans="1:18">
      <c r="A122" t="s">
        <v>13</v>
      </c>
      <c r="B122" t="s">
        <v>51</v>
      </c>
      <c r="C122" t="s">
        <v>52</v>
      </c>
      <c r="D122" t="s">
        <v>4</v>
      </c>
      <c r="E122" t="s">
        <v>5</v>
      </c>
      <c r="F122" t="s">
        <v>6</v>
      </c>
      <c r="G122" t="s">
        <v>7</v>
      </c>
      <c r="I122" t="s">
        <v>13</v>
      </c>
      <c r="J122" t="s">
        <v>51</v>
      </c>
      <c r="K122" t="s">
        <v>52</v>
      </c>
      <c r="L122" t="s">
        <v>4</v>
      </c>
      <c r="M122" t="s">
        <v>5</v>
      </c>
      <c r="N122" t="s">
        <v>6</v>
      </c>
      <c r="O122" t="s">
        <v>7</v>
      </c>
      <c r="Q122" t="s">
        <v>13</v>
      </c>
      <c r="R122" t="s">
        <v>51</v>
      </c>
    </row>
    <row r="123" spans="1:18">
      <c r="A123" t="s">
        <v>56</v>
      </c>
      <c r="B123">
        <v>4</v>
      </c>
      <c r="C123">
        <v>7</v>
      </c>
      <c r="D123">
        <f t="shared" ref="D123:D128" si="4">C123 + B123</f>
        <v>11</v>
      </c>
      <c r="E123" s="3">
        <f>4/15</f>
        <v>0.26666666666666666</v>
      </c>
      <c r="F123" s="3">
        <f>7/23</f>
        <v>0.30434782608695654</v>
      </c>
      <c r="G123" s="3">
        <f>11/38</f>
        <v>0.28947368421052633</v>
      </c>
      <c r="I123" t="s">
        <v>56</v>
      </c>
      <c r="J123">
        <v>4</v>
      </c>
      <c r="K123">
        <v>10</v>
      </c>
      <c r="L123">
        <f>Table192616[[#This Row],[Males]] + Table192616[[#This Row],[Females]]</f>
        <v>14</v>
      </c>
      <c r="M123" s="3">
        <f>4/18</f>
        <v>0.22222222222222221</v>
      </c>
      <c r="N123" s="3">
        <f t="shared" ref="N123:N128" si="5">10/29</f>
        <v>0.34482758620689657</v>
      </c>
      <c r="O123" s="3">
        <f>14/47</f>
        <v>0.2978723404255319</v>
      </c>
      <c r="Q123" t="s">
        <v>56</v>
      </c>
      <c r="R123">
        <v>1</v>
      </c>
    </row>
    <row r="124" spans="1:18">
      <c r="A124" t="s">
        <v>17</v>
      </c>
      <c r="B124">
        <v>2</v>
      </c>
      <c r="C124">
        <v>1</v>
      </c>
      <c r="D124">
        <f t="shared" si="4"/>
        <v>3</v>
      </c>
      <c r="E124" s="3">
        <f>2/15</f>
        <v>0.13333333333333333</v>
      </c>
      <c r="F124" s="3">
        <f>1/23</f>
        <v>4.3478260869565216E-2</v>
      </c>
      <c r="G124" s="3">
        <f>3/38</f>
        <v>7.8947368421052627E-2</v>
      </c>
      <c r="I124" t="s">
        <v>17</v>
      </c>
      <c r="J124">
        <v>1</v>
      </c>
      <c r="K124">
        <v>2</v>
      </c>
      <c r="L124">
        <f>Table192616[[#This Row],[Males]] + Table192616[[#This Row],[Females]]</f>
        <v>3</v>
      </c>
      <c r="M124" s="3">
        <f>1/18</f>
        <v>5.5555555555555552E-2</v>
      </c>
      <c r="N124" s="3">
        <f>2/29</f>
        <v>6.8965517241379309E-2</v>
      </c>
      <c r="O124" s="3">
        <f>3/47</f>
        <v>6.3829787234042548E-2</v>
      </c>
      <c r="Q124" t="s">
        <v>17</v>
      </c>
      <c r="R124">
        <v>0</v>
      </c>
    </row>
    <row r="125" spans="1:18">
      <c r="A125" t="s">
        <v>57</v>
      </c>
      <c r="B125">
        <v>0</v>
      </c>
      <c r="C125">
        <v>0</v>
      </c>
      <c r="D125">
        <f t="shared" si="4"/>
        <v>0</v>
      </c>
      <c r="E125" s="3">
        <f>0/15</f>
        <v>0</v>
      </c>
      <c r="F125" s="3">
        <f>0/23</f>
        <v>0</v>
      </c>
      <c r="G125" s="3">
        <v>0</v>
      </c>
      <c r="I125" t="s">
        <v>57</v>
      </c>
      <c r="J125">
        <v>0</v>
      </c>
      <c r="K125">
        <v>2</v>
      </c>
      <c r="L125">
        <f>Table192616[[#This Row],[Males]] + Table192616[[#This Row],[Females]]</f>
        <v>2</v>
      </c>
      <c r="M125" s="3">
        <v>0</v>
      </c>
      <c r="N125" s="3">
        <f>2/29</f>
        <v>6.8965517241379309E-2</v>
      </c>
      <c r="O125" s="3">
        <f>2/47</f>
        <v>4.2553191489361701E-2</v>
      </c>
      <c r="Q125" t="s">
        <v>57</v>
      </c>
      <c r="R125">
        <v>0</v>
      </c>
    </row>
    <row r="126" spans="1:18">
      <c r="A126" t="s">
        <v>58</v>
      </c>
      <c r="B126">
        <v>1</v>
      </c>
      <c r="C126">
        <v>2</v>
      </c>
      <c r="D126">
        <f t="shared" si="4"/>
        <v>3</v>
      </c>
      <c r="E126" s="3">
        <f>1/15</f>
        <v>6.6666666666666666E-2</v>
      </c>
      <c r="F126" s="3">
        <f>2/23</f>
        <v>8.6956521739130432E-2</v>
      </c>
      <c r="G126" s="3">
        <f>3/38</f>
        <v>7.8947368421052627E-2</v>
      </c>
      <c r="I126" t="s">
        <v>58</v>
      </c>
      <c r="J126">
        <v>1</v>
      </c>
      <c r="K126">
        <v>1</v>
      </c>
      <c r="L126">
        <f>Table192616[[#This Row],[Males]] + Table192616[[#This Row],[Females]]</f>
        <v>2</v>
      </c>
      <c r="M126" s="3">
        <f>1/18</f>
        <v>5.5555555555555552E-2</v>
      </c>
      <c r="N126" s="3">
        <f>1/29</f>
        <v>3.4482758620689655E-2</v>
      </c>
      <c r="O126" s="3">
        <f>2/47</f>
        <v>4.2553191489361701E-2</v>
      </c>
      <c r="Q126" t="s">
        <v>58</v>
      </c>
      <c r="R126">
        <v>0</v>
      </c>
    </row>
    <row r="127" spans="1:18">
      <c r="A127" t="s">
        <v>20</v>
      </c>
      <c r="B127">
        <v>8</v>
      </c>
      <c r="C127">
        <v>13</v>
      </c>
      <c r="D127">
        <f t="shared" si="4"/>
        <v>21</v>
      </c>
      <c r="E127" s="3">
        <f>9/15</f>
        <v>0.6</v>
      </c>
      <c r="F127" s="3">
        <f>13/23</f>
        <v>0.56521739130434778</v>
      </c>
      <c r="G127" s="3">
        <f>21/38</f>
        <v>0.55263157894736847</v>
      </c>
      <c r="I127" t="s">
        <v>20</v>
      </c>
      <c r="J127">
        <v>12</v>
      </c>
      <c r="K127">
        <v>14</v>
      </c>
      <c r="L127">
        <f>Table192616[[#This Row],[Males]] + Table192616[[#This Row],[Females]]</f>
        <v>26</v>
      </c>
      <c r="M127" s="3">
        <f>12/18</f>
        <v>0.66666666666666663</v>
      </c>
      <c r="N127" s="3">
        <f>14/29</f>
        <v>0.48275862068965519</v>
      </c>
      <c r="O127" s="3">
        <f>26/47</f>
        <v>0.55319148936170215</v>
      </c>
      <c r="Q127" t="s">
        <v>20</v>
      </c>
      <c r="R127">
        <v>0</v>
      </c>
    </row>
    <row r="128" spans="1:18">
      <c r="A128" t="s">
        <v>4</v>
      </c>
      <c r="B128">
        <v>15</v>
      </c>
      <c r="C128">
        <v>23</v>
      </c>
      <c r="D128">
        <f t="shared" si="4"/>
        <v>38</v>
      </c>
      <c r="E128" s="3">
        <v>1</v>
      </c>
      <c r="F128" s="3">
        <v>1</v>
      </c>
      <c r="G128" s="3">
        <v>1</v>
      </c>
      <c r="I128" t="s">
        <v>4</v>
      </c>
      <c r="J128">
        <v>18</v>
      </c>
      <c r="K128">
        <v>29</v>
      </c>
      <c r="L128">
        <f>Table192616[[#This Row],[Males]] + Table192616[[#This Row],[Females]]</f>
        <v>47</v>
      </c>
      <c r="M128" s="3">
        <v>1</v>
      </c>
      <c r="N128" s="3">
        <v>1</v>
      </c>
      <c r="O128" s="3">
        <v>1</v>
      </c>
      <c r="Q128" t="s">
        <v>4</v>
      </c>
      <c r="R128">
        <v>1</v>
      </c>
    </row>
    <row r="159" spans="1:18">
      <c r="A159" t="s">
        <v>21</v>
      </c>
      <c r="I159" t="s">
        <v>21</v>
      </c>
      <c r="Q159" t="s">
        <v>21</v>
      </c>
    </row>
    <row r="160" spans="1:18">
      <c r="A160" t="s">
        <v>13</v>
      </c>
      <c r="B160" t="s">
        <v>51</v>
      </c>
      <c r="C160" t="s">
        <v>52</v>
      </c>
      <c r="D160" t="s">
        <v>4</v>
      </c>
      <c r="E160" t="s">
        <v>5</v>
      </c>
      <c r="F160" t="s">
        <v>6</v>
      </c>
      <c r="G160" t="s">
        <v>7</v>
      </c>
      <c r="I160" t="s">
        <v>13</v>
      </c>
      <c r="J160" t="s">
        <v>51</v>
      </c>
      <c r="K160" t="s">
        <v>52</v>
      </c>
      <c r="L160" t="s">
        <v>4</v>
      </c>
      <c r="M160" t="s">
        <v>5</v>
      </c>
      <c r="N160" t="s">
        <v>6</v>
      </c>
      <c r="O160" t="s">
        <v>7</v>
      </c>
      <c r="Q160" t="s">
        <v>13</v>
      </c>
      <c r="R160" t="s">
        <v>2</v>
      </c>
    </row>
    <row r="161" spans="1:18">
      <c r="A161" t="s">
        <v>56</v>
      </c>
      <c r="B161">
        <v>2</v>
      </c>
      <c r="C161">
        <v>7</v>
      </c>
      <c r="D161">
        <f t="shared" ref="D161:D166" si="6">C161 + B161</f>
        <v>9</v>
      </c>
      <c r="E161" s="3">
        <f>2/15</f>
        <v>0.13333333333333333</v>
      </c>
      <c r="F161" s="3">
        <f>7/23</f>
        <v>0.30434782608695654</v>
      </c>
      <c r="G161" s="3">
        <f>9/38</f>
        <v>0.23684210526315788</v>
      </c>
      <c r="I161" t="s">
        <v>56</v>
      </c>
      <c r="J161">
        <v>6</v>
      </c>
      <c r="K161">
        <v>10</v>
      </c>
      <c r="L161">
        <f>Table202718[[#This Row],[Males]] + Table202718[[#This Row],[Females]]</f>
        <v>16</v>
      </c>
      <c r="M161" s="3">
        <f>6/18</f>
        <v>0.33333333333333331</v>
      </c>
      <c r="N161" s="3">
        <f>10/29</f>
        <v>0.34482758620689657</v>
      </c>
      <c r="O161" s="3">
        <f>16/47</f>
        <v>0.34042553191489361</v>
      </c>
      <c r="Q161" t="s">
        <v>56</v>
      </c>
      <c r="R161">
        <v>0</v>
      </c>
    </row>
    <row r="162" spans="1:18">
      <c r="A162" t="s">
        <v>17</v>
      </c>
      <c r="B162">
        <v>4</v>
      </c>
      <c r="C162">
        <v>0</v>
      </c>
      <c r="D162">
        <f t="shared" si="6"/>
        <v>4</v>
      </c>
      <c r="E162" s="3">
        <f>4/15</f>
        <v>0.26666666666666666</v>
      </c>
      <c r="F162" s="3">
        <v>0</v>
      </c>
      <c r="G162" s="3">
        <f>4/38</f>
        <v>0.10526315789473684</v>
      </c>
      <c r="I162" t="s">
        <v>17</v>
      </c>
      <c r="J162">
        <v>3</v>
      </c>
      <c r="K162">
        <v>3</v>
      </c>
      <c r="L162">
        <f>Table202718[[#This Row],[Males]] + Table202718[[#This Row],[Females]]</f>
        <v>6</v>
      </c>
      <c r="M162" s="3">
        <f>3/18</f>
        <v>0.16666666666666666</v>
      </c>
      <c r="N162" s="3">
        <f>3/29</f>
        <v>0.10344827586206896</v>
      </c>
      <c r="O162" s="3">
        <f>6/47</f>
        <v>0.1276595744680851</v>
      </c>
      <c r="Q162" t="s">
        <v>17</v>
      </c>
      <c r="R162">
        <v>0</v>
      </c>
    </row>
    <row r="163" spans="1:18">
      <c r="A163" t="s">
        <v>57</v>
      </c>
      <c r="B163">
        <v>0</v>
      </c>
      <c r="C163">
        <v>2</v>
      </c>
      <c r="D163">
        <f t="shared" si="6"/>
        <v>2</v>
      </c>
      <c r="E163" s="3">
        <v>0</v>
      </c>
      <c r="F163" s="3">
        <f>2/23</f>
        <v>8.6956521739130432E-2</v>
      </c>
      <c r="G163" s="3">
        <f>2/39</f>
        <v>5.128205128205128E-2</v>
      </c>
      <c r="I163" t="s">
        <v>57</v>
      </c>
      <c r="J163">
        <v>1</v>
      </c>
      <c r="K163">
        <v>2</v>
      </c>
      <c r="L163">
        <f>Table202718[[#This Row],[Males]] + Table202718[[#This Row],[Females]]</f>
        <v>3</v>
      </c>
      <c r="M163" s="3">
        <f>1/18</f>
        <v>5.5555555555555552E-2</v>
      </c>
      <c r="N163" s="3">
        <f>2/29</f>
        <v>6.8965517241379309E-2</v>
      </c>
      <c r="O163" s="3">
        <f>3/47</f>
        <v>6.3829787234042548E-2</v>
      </c>
      <c r="Q163" t="s">
        <v>57</v>
      </c>
      <c r="R163">
        <v>1</v>
      </c>
    </row>
    <row r="164" spans="1:18">
      <c r="A164" t="s">
        <v>58</v>
      </c>
      <c r="B164">
        <v>3</v>
      </c>
      <c r="C164">
        <v>6</v>
      </c>
      <c r="D164">
        <f t="shared" si="6"/>
        <v>9</v>
      </c>
      <c r="E164" s="3">
        <f>3/15</f>
        <v>0.2</v>
      </c>
      <c r="F164" s="3">
        <f>6/23</f>
        <v>0.2608695652173913</v>
      </c>
      <c r="G164" s="3">
        <f>9/38</f>
        <v>0.23684210526315788</v>
      </c>
      <c r="I164" t="s">
        <v>58</v>
      </c>
      <c r="J164">
        <v>0</v>
      </c>
      <c r="K164">
        <v>2</v>
      </c>
      <c r="L164">
        <f>Table202718[[#This Row],[Males]] + Table202718[[#This Row],[Females]]</f>
        <v>2</v>
      </c>
      <c r="M164" s="3">
        <v>0</v>
      </c>
      <c r="N164" s="3">
        <f>2/29</f>
        <v>6.8965517241379309E-2</v>
      </c>
      <c r="O164" s="3">
        <f>2/47</f>
        <v>4.2553191489361701E-2</v>
      </c>
      <c r="Q164" t="s">
        <v>58</v>
      </c>
      <c r="R164">
        <v>0</v>
      </c>
    </row>
    <row r="165" spans="1:18">
      <c r="A165" t="s">
        <v>20</v>
      </c>
      <c r="B165">
        <v>6</v>
      </c>
      <c r="C165">
        <v>8</v>
      </c>
      <c r="D165">
        <f t="shared" si="6"/>
        <v>14</v>
      </c>
      <c r="E165" s="3">
        <f>6/15</f>
        <v>0.4</v>
      </c>
      <c r="F165" s="3">
        <f>8/23</f>
        <v>0.34782608695652173</v>
      </c>
      <c r="G165" s="3">
        <f>14/38</f>
        <v>0.36842105263157893</v>
      </c>
      <c r="I165" t="s">
        <v>20</v>
      </c>
      <c r="J165">
        <v>8</v>
      </c>
      <c r="K165">
        <v>12</v>
      </c>
      <c r="L165">
        <f>Table202718[[#This Row],[Males]] + Table202718[[#This Row],[Females]]</f>
        <v>20</v>
      </c>
      <c r="M165" s="3">
        <f>8/18</f>
        <v>0.44444444444444442</v>
      </c>
      <c r="N165" s="3">
        <f>12/29</f>
        <v>0.41379310344827586</v>
      </c>
      <c r="O165" s="3">
        <f>20/47</f>
        <v>0.42553191489361702</v>
      </c>
      <c r="Q165" t="s">
        <v>20</v>
      </c>
      <c r="R165">
        <v>0</v>
      </c>
    </row>
    <row r="166" spans="1:18">
      <c r="A166" t="s">
        <v>4</v>
      </c>
      <c r="B166">
        <v>15</v>
      </c>
      <c r="C166">
        <v>23</v>
      </c>
      <c r="D166">
        <f t="shared" si="6"/>
        <v>38</v>
      </c>
      <c r="E166" s="3">
        <v>1</v>
      </c>
      <c r="F166" s="3">
        <v>1</v>
      </c>
      <c r="G166" s="3">
        <v>1</v>
      </c>
      <c r="I166" t="s">
        <v>4</v>
      </c>
      <c r="J166">
        <v>18</v>
      </c>
      <c r="K166">
        <v>29</v>
      </c>
      <c r="L166">
        <f>Table202718[[#This Row],[Males]] + Table202718[[#This Row],[Females]]</f>
        <v>47</v>
      </c>
      <c r="M166" s="3">
        <v>1</v>
      </c>
      <c r="N166" s="3">
        <v>1</v>
      </c>
      <c r="O166" s="3">
        <v>1</v>
      </c>
      <c r="Q166" t="s">
        <v>4</v>
      </c>
      <c r="R166">
        <v>1</v>
      </c>
    </row>
    <row r="197" spans="1:18">
      <c r="A197" t="s">
        <v>84</v>
      </c>
      <c r="I197" t="s">
        <v>85</v>
      </c>
      <c r="Q197" t="s">
        <v>86</v>
      </c>
    </row>
    <row r="198" spans="1:18">
      <c r="A198" t="s">
        <v>63</v>
      </c>
      <c r="B198" t="s">
        <v>51</v>
      </c>
      <c r="C198" t="s">
        <v>52</v>
      </c>
      <c r="D198" t="s">
        <v>4</v>
      </c>
      <c r="E198" t="s">
        <v>5</v>
      </c>
      <c r="F198" t="s">
        <v>6</v>
      </c>
      <c r="G198" t="s">
        <v>7</v>
      </c>
      <c r="I198" t="s">
        <v>63</v>
      </c>
      <c r="J198" t="s">
        <v>51</v>
      </c>
      <c r="K198" t="s">
        <v>52</v>
      </c>
      <c r="L198" t="s">
        <v>4</v>
      </c>
      <c r="M198" t="s">
        <v>5</v>
      </c>
      <c r="N198" t="s">
        <v>6</v>
      </c>
      <c r="O198" t="s">
        <v>7</v>
      </c>
      <c r="Q198" t="s">
        <v>63</v>
      </c>
      <c r="R198" t="s">
        <v>51</v>
      </c>
    </row>
    <row r="199" spans="1:18">
      <c r="A199" t="s">
        <v>36</v>
      </c>
      <c r="B199">
        <v>17</v>
      </c>
      <c r="C199">
        <v>17.13</v>
      </c>
      <c r="D199">
        <v>17.079999999999998</v>
      </c>
      <c r="I199" t="s">
        <v>36</v>
      </c>
      <c r="J199">
        <v>16.670000000000002</v>
      </c>
      <c r="K199">
        <v>16.59</v>
      </c>
      <c r="L199">
        <v>16.62</v>
      </c>
      <c r="Q199" t="s">
        <v>36</v>
      </c>
      <c r="R199">
        <v>16</v>
      </c>
    </row>
    <row r="200" spans="1:18">
      <c r="A200" t="s">
        <v>37</v>
      </c>
      <c r="B200">
        <v>0</v>
      </c>
      <c r="C200">
        <v>0</v>
      </c>
      <c r="D200">
        <v>0</v>
      </c>
      <c r="I200" t="s">
        <v>37</v>
      </c>
      <c r="J200">
        <v>4.9400000000000004</v>
      </c>
      <c r="K200">
        <v>9.1</v>
      </c>
      <c r="L200">
        <v>7.51</v>
      </c>
      <c r="Q200" t="s">
        <v>37</v>
      </c>
      <c r="R200">
        <v>4</v>
      </c>
    </row>
    <row r="201" spans="1:18">
      <c r="A201" t="s">
        <v>64</v>
      </c>
      <c r="B201">
        <v>15</v>
      </c>
      <c r="C201">
        <v>23</v>
      </c>
      <c r="D201">
        <v>38</v>
      </c>
      <c r="I201" t="s">
        <v>64</v>
      </c>
      <c r="J201">
        <v>18</v>
      </c>
      <c r="K201">
        <v>29</v>
      </c>
      <c r="L201">
        <v>47</v>
      </c>
      <c r="M201" s="3">
        <f>18/47</f>
        <v>0.38297872340425532</v>
      </c>
      <c r="N201" s="3">
        <f>29/47</f>
        <v>0.61702127659574468</v>
      </c>
      <c r="O201" s="3">
        <v>1</v>
      </c>
      <c r="Q201" t="s">
        <v>64</v>
      </c>
      <c r="R201">
        <v>1</v>
      </c>
    </row>
    <row r="202" spans="1:18">
      <c r="E202" s="3"/>
      <c r="F202" s="3"/>
      <c r="G202" s="3"/>
      <c r="M202" s="3"/>
      <c r="N202" s="3"/>
      <c r="O202" s="3"/>
    </row>
    <row r="203" spans="1:18">
      <c r="A203" t="s">
        <v>42</v>
      </c>
      <c r="B203">
        <v>15</v>
      </c>
      <c r="C203">
        <v>21</v>
      </c>
      <c r="D203">
        <v>36</v>
      </c>
      <c r="E203" s="3">
        <v>1</v>
      </c>
      <c r="F203" s="3">
        <f>21/23</f>
        <v>0.91304347826086951</v>
      </c>
      <c r="G203" s="3">
        <f>36/38</f>
        <v>0.94736842105263153</v>
      </c>
      <c r="I203" t="s">
        <v>42</v>
      </c>
      <c r="J203">
        <v>16</v>
      </c>
      <c r="K203">
        <v>23</v>
      </c>
      <c r="L203">
        <v>39</v>
      </c>
      <c r="M203" s="3">
        <f>16/18</f>
        <v>0.88888888888888884</v>
      </c>
      <c r="N203" s="3">
        <f>23/29</f>
        <v>0.7931034482758621</v>
      </c>
      <c r="O203" s="3">
        <f>39/47</f>
        <v>0.82978723404255317</v>
      </c>
      <c r="Q203" t="s">
        <v>42</v>
      </c>
      <c r="R203">
        <v>1</v>
      </c>
    </row>
    <row r="204" spans="1:18">
      <c r="A204" t="s">
        <v>43</v>
      </c>
      <c r="B204">
        <v>0</v>
      </c>
      <c r="C204">
        <v>2</v>
      </c>
      <c r="D204">
        <v>2</v>
      </c>
      <c r="E204" s="3">
        <v>0</v>
      </c>
      <c r="F204" s="3">
        <f>2/23</f>
        <v>8.6956521739130432E-2</v>
      </c>
      <c r="G204" s="3">
        <f>2/38</f>
        <v>5.2631578947368418E-2</v>
      </c>
      <c r="I204" t="s">
        <v>43</v>
      </c>
      <c r="J204">
        <v>2</v>
      </c>
      <c r="K204">
        <v>6</v>
      </c>
      <c r="L204">
        <v>8</v>
      </c>
      <c r="M204" s="3">
        <f>2/18</f>
        <v>0.1111111111111111</v>
      </c>
      <c r="N204" s="3">
        <f>6/29</f>
        <v>0.20689655172413793</v>
      </c>
      <c r="O204" s="3">
        <f>8/47</f>
        <v>0.1702127659574468</v>
      </c>
      <c r="Q204" t="s">
        <v>43</v>
      </c>
      <c r="R204">
        <v>0</v>
      </c>
    </row>
    <row r="205" spans="1:18">
      <c r="E205" s="3"/>
      <c r="F205" s="3"/>
      <c r="G205" s="3"/>
      <c r="M205" s="3"/>
      <c r="N205" s="3"/>
      <c r="O205" s="3"/>
    </row>
    <row r="206" spans="1:18">
      <c r="A206" t="s">
        <v>44</v>
      </c>
      <c r="B206">
        <v>6</v>
      </c>
      <c r="C206">
        <v>15</v>
      </c>
      <c r="D206">
        <v>21</v>
      </c>
      <c r="E206" s="3">
        <f>6/15</f>
        <v>0.4</v>
      </c>
      <c r="F206" s="3">
        <f>15/23</f>
        <v>0.65217391304347827</v>
      </c>
      <c r="G206" s="3">
        <f>21/38</f>
        <v>0.55263157894736847</v>
      </c>
      <c r="I206" t="s">
        <v>44</v>
      </c>
      <c r="J206">
        <v>9</v>
      </c>
      <c r="K206">
        <v>14</v>
      </c>
      <c r="L206">
        <v>23</v>
      </c>
      <c r="M206" s="3">
        <f>9/18</f>
        <v>0.5</v>
      </c>
      <c r="N206" s="3">
        <f>14/29</f>
        <v>0.48275862068965519</v>
      </c>
      <c r="O206" s="3">
        <f>23/47</f>
        <v>0.48936170212765956</v>
      </c>
      <c r="Q206" t="s">
        <v>44</v>
      </c>
      <c r="R206">
        <v>1</v>
      </c>
    </row>
    <row r="207" spans="1:18">
      <c r="A207" t="s">
        <v>45</v>
      </c>
      <c r="B207">
        <v>9</v>
      </c>
      <c r="C207">
        <v>8</v>
      </c>
      <c r="D207">
        <v>17</v>
      </c>
      <c r="E207" s="3">
        <f>9/15</f>
        <v>0.6</v>
      </c>
      <c r="F207" s="3">
        <f>8/23</f>
        <v>0.34782608695652173</v>
      </c>
      <c r="G207" s="3">
        <f>17/38</f>
        <v>0.44736842105263158</v>
      </c>
      <c r="I207" t="s">
        <v>45</v>
      </c>
      <c r="J207">
        <v>9</v>
      </c>
      <c r="K207">
        <v>15</v>
      </c>
      <c r="L207">
        <v>24</v>
      </c>
      <c r="M207" s="3">
        <f>9/18</f>
        <v>0.5</v>
      </c>
      <c r="N207" s="3">
        <f>15/29</f>
        <v>0.51724137931034486</v>
      </c>
      <c r="O207" s="3">
        <f>24/47</f>
        <v>0.51063829787234039</v>
      </c>
      <c r="Q207" t="s">
        <v>45</v>
      </c>
      <c r="R207">
        <v>0</v>
      </c>
    </row>
    <row r="208" spans="1:18">
      <c r="E208" s="3"/>
      <c r="F208" s="3"/>
      <c r="G208" s="3"/>
      <c r="M208" s="3"/>
      <c r="N208" s="3"/>
      <c r="O208" s="3"/>
    </row>
    <row r="209" spans="1:18">
      <c r="A209" t="s">
        <v>46</v>
      </c>
      <c r="B209">
        <v>11</v>
      </c>
      <c r="C209">
        <v>19</v>
      </c>
      <c r="D209">
        <v>30</v>
      </c>
      <c r="E209" s="3">
        <f>11/15</f>
        <v>0.73333333333333328</v>
      </c>
      <c r="F209" s="3">
        <f>19/23</f>
        <v>0.82608695652173914</v>
      </c>
      <c r="G209" s="3">
        <f>30/38</f>
        <v>0.78947368421052633</v>
      </c>
      <c r="I209" t="s">
        <v>46</v>
      </c>
      <c r="J209">
        <v>18</v>
      </c>
      <c r="K209">
        <v>23</v>
      </c>
      <c r="L209">
        <v>41</v>
      </c>
      <c r="M209" s="3">
        <v>1</v>
      </c>
      <c r="N209" s="3">
        <f>23/29</f>
        <v>0.7931034482758621</v>
      </c>
      <c r="O209" s="3">
        <f>41/47</f>
        <v>0.87234042553191493</v>
      </c>
      <c r="Q209" t="s">
        <v>46</v>
      </c>
      <c r="R209">
        <v>1</v>
      </c>
    </row>
    <row r="210" spans="1:18">
      <c r="A210" t="s">
        <v>47</v>
      </c>
      <c r="B210">
        <v>4</v>
      </c>
      <c r="C210">
        <v>4</v>
      </c>
      <c r="D210">
        <v>8</v>
      </c>
      <c r="E210" s="3">
        <f>4/15</f>
        <v>0.26666666666666666</v>
      </c>
      <c r="F210" s="3">
        <f>4/23</f>
        <v>0.17391304347826086</v>
      </c>
      <c r="G210" s="3">
        <f>8/38</f>
        <v>0.21052631578947367</v>
      </c>
      <c r="I210" t="s">
        <v>47</v>
      </c>
      <c r="J210">
        <v>0</v>
      </c>
      <c r="K210">
        <v>6</v>
      </c>
      <c r="L210">
        <v>6</v>
      </c>
      <c r="M210" s="3">
        <v>0</v>
      </c>
      <c r="N210" s="3">
        <f>6/29</f>
        <v>0.20689655172413793</v>
      </c>
      <c r="O210" s="3">
        <f>6/47</f>
        <v>0.1276595744680851</v>
      </c>
      <c r="Q210" t="s">
        <v>47</v>
      </c>
      <c r="R210">
        <v>0</v>
      </c>
    </row>
    <row r="211" spans="1:18">
      <c r="E211" s="3"/>
      <c r="F211" s="3"/>
      <c r="G211" s="3"/>
      <c r="M211" s="3"/>
      <c r="N211" s="3"/>
      <c r="O211" s="3"/>
    </row>
    <row r="212" spans="1:18">
      <c r="A212" t="s">
        <v>48</v>
      </c>
      <c r="B212">
        <v>5</v>
      </c>
      <c r="C212">
        <v>15</v>
      </c>
      <c r="D212">
        <v>20</v>
      </c>
      <c r="E212" s="3">
        <f>5/15</f>
        <v>0.33333333333333331</v>
      </c>
      <c r="F212" s="3">
        <f>15/23</f>
        <v>0.65217391304347827</v>
      </c>
      <c r="G212" s="3">
        <f>20/38</f>
        <v>0.52631578947368418</v>
      </c>
      <c r="I212" t="s">
        <v>48</v>
      </c>
      <c r="J212">
        <v>6</v>
      </c>
      <c r="K212">
        <v>11</v>
      </c>
      <c r="L212">
        <v>17</v>
      </c>
      <c r="M212" s="3">
        <f>6/18</f>
        <v>0.33333333333333331</v>
      </c>
      <c r="N212" s="3">
        <f>11/29</f>
        <v>0.37931034482758619</v>
      </c>
      <c r="O212" s="3">
        <f>17/47</f>
        <v>0.36170212765957449</v>
      </c>
      <c r="Q212" t="s">
        <v>48</v>
      </c>
      <c r="R212">
        <v>0</v>
      </c>
    </row>
    <row r="213" spans="1:18">
      <c r="A213" t="s">
        <v>65</v>
      </c>
      <c r="B213">
        <v>10</v>
      </c>
      <c r="C213">
        <v>8</v>
      </c>
      <c r="D213">
        <v>18</v>
      </c>
      <c r="E213" s="3">
        <f>10/15</f>
        <v>0.66666666666666663</v>
      </c>
      <c r="F213" s="3">
        <f>8/23</f>
        <v>0.34782608695652173</v>
      </c>
      <c r="G213" s="3">
        <f>18/38</f>
        <v>0.47368421052631576</v>
      </c>
      <c r="I213" t="s">
        <v>65</v>
      </c>
      <c r="J213">
        <v>12</v>
      </c>
      <c r="K213">
        <v>18</v>
      </c>
      <c r="L213">
        <v>30</v>
      </c>
      <c r="M213" s="3">
        <f>12/18</f>
        <v>0.66666666666666663</v>
      </c>
      <c r="N213" s="3">
        <f>18/29</f>
        <v>0.62068965517241381</v>
      </c>
      <c r="O213" s="3">
        <f>30/47</f>
        <v>0.63829787234042556</v>
      </c>
      <c r="Q213" t="s">
        <v>65</v>
      </c>
      <c r="R213">
        <v>1</v>
      </c>
    </row>
  </sheetData>
  <pageMargins left="0.7" right="0.7" top="0.75" bottom="0.75" header="0.3" footer="0.3"/>
  <drawing r:id="rId1"/>
  <tableParts count="1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89B3E-E4AD-4E49-9A8F-243702973024}">
  <dimension ref="A4:R50"/>
  <sheetViews>
    <sheetView tabSelected="1" topLeftCell="I1" workbookViewId="0">
      <selection activeCell="P14" sqref="P14"/>
    </sheetView>
  </sheetViews>
  <sheetFormatPr defaultRowHeight="15"/>
  <cols>
    <col min="1" max="1" width="41.140625" bestFit="1" customWidth="1"/>
    <col min="2" max="2" width="40.28515625" customWidth="1"/>
    <col min="3" max="3" width="13.7109375" customWidth="1"/>
    <col min="4" max="5" width="11.7109375" bestFit="1" customWidth="1"/>
    <col min="6" max="6" width="31.5703125" bestFit="1" customWidth="1"/>
    <col min="7" max="7" width="27.85546875" bestFit="1" customWidth="1"/>
    <col min="8" max="8" width="10.85546875" bestFit="1" customWidth="1"/>
    <col min="9" max="9" width="10.5703125" bestFit="1" customWidth="1"/>
    <col min="10" max="10" width="11.7109375" bestFit="1" customWidth="1"/>
    <col min="11" max="11" width="30.7109375" customWidth="1"/>
    <col min="12" max="12" width="10.85546875" bestFit="1" customWidth="1"/>
    <col min="13" max="13" width="10.5703125" bestFit="1" customWidth="1"/>
    <col min="14" max="14" width="11.7109375" bestFit="1" customWidth="1"/>
    <col min="16" max="16" width="30.5703125" customWidth="1"/>
    <col min="17" max="17" width="10.85546875" bestFit="1" customWidth="1"/>
    <col min="18" max="18" width="11.7109375" bestFit="1" customWidth="1"/>
  </cols>
  <sheetData>
    <row r="4" spans="1:18">
      <c r="A4" t="s">
        <v>87</v>
      </c>
    </row>
    <row r="5" spans="1:18">
      <c r="F5" s="12" t="s">
        <v>88</v>
      </c>
      <c r="G5" s="13">
        <v>0</v>
      </c>
      <c r="K5" t="s">
        <v>89</v>
      </c>
      <c r="L5" s="13">
        <v>11</v>
      </c>
      <c r="P5" t="s">
        <v>89</v>
      </c>
      <c r="Q5" s="13">
        <v>20</v>
      </c>
    </row>
    <row r="6" spans="1:18">
      <c r="A6" s="12" t="s">
        <v>90</v>
      </c>
      <c r="B6" s="12" t="s">
        <v>91</v>
      </c>
    </row>
    <row r="7" spans="1:18">
      <c r="A7" s="12" t="s">
        <v>29</v>
      </c>
      <c r="B7" t="s">
        <v>92</v>
      </c>
      <c r="C7" t="s">
        <v>93</v>
      </c>
      <c r="D7" t="s">
        <v>94</v>
      </c>
      <c r="F7" s="12" t="s">
        <v>95</v>
      </c>
      <c r="G7" s="12" t="s">
        <v>91</v>
      </c>
      <c r="K7" s="12" t="s">
        <v>96</v>
      </c>
      <c r="L7" s="12" t="s">
        <v>91</v>
      </c>
      <c r="P7" s="12" t="s">
        <v>97</v>
      </c>
      <c r="Q7" s="12" t="s">
        <v>91</v>
      </c>
    </row>
    <row r="8" spans="1:18">
      <c r="A8" t="s">
        <v>98</v>
      </c>
      <c r="B8" s="3">
        <v>0.25480769230769229</v>
      </c>
      <c r="C8" s="3">
        <v>0.24598930481283424</v>
      </c>
      <c r="D8" s="3">
        <v>0.25063291139240507</v>
      </c>
      <c r="F8" s="12" t="s">
        <v>29</v>
      </c>
      <c r="G8" t="s">
        <v>92</v>
      </c>
      <c r="H8" t="s">
        <v>93</v>
      </c>
      <c r="I8" t="s">
        <v>94</v>
      </c>
      <c r="K8" s="12" t="s">
        <v>29</v>
      </c>
      <c r="L8" t="s">
        <v>92</v>
      </c>
      <c r="M8" t="s">
        <v>93</v>
      </c>
      <c r="N8" t="s">
        <v>94</v>
      </c>
      <c r="P8" s="12" t="s">
        <v>29</v>
      </c>
      <c r="Q8" t="s">
        <v>93</v>
      </c>
      <c r="R8" t="s">
        <v>94</v>
      </c>
    </row>
    <row r="9" spans="1:18">
      <c r="A9" t="s">
        <v>99</v>
      </c>
      <c r="B9" s="3">
        <v>0.15384615384615385</v>
      </c>
      <c r="C9" s="3">
        <v>0.14438502673796791</v>
      </c>
      <c r="D9" s="3">
        <v>0.14936708860759493</v>
      </c>
      <c r="F9" t="s">
        <v>100</v>
      </c>
      <c r="G9" s="3">
        <v>0.43478260869565216</v>
      </c>
      <c r="H9" s="3">
        <v>0.26666666666666666</v>
      </c>
      <c r="I9" s="3">
        <v>0.36842105263157893</v>
      </c>
      <c r="K9" t="s">
        <v>100</v>
      </c>
      <c r="L9" s="3">
        <v>0.34482758620689657</v>
      </c>
      <c r="M9" s="3">
        <v>0.27777777777777779</v>
      </c>
      <c r="N9" s="3">
        <v>0.31914893617021278</v>
      </c>
      <c r="P9" t="s">
        <v>101</v>
      </c>
      <c r="Q9" s="3">
        <v>1</v>
      </c>
      <c r="R9" s="3">
        <v>1</v>
      </c>
    </row>
    <row r="10" spans="1:18">
      <c r="A10" t="s">
        <v>102</v>
      </c>
      <c r="B10" s="3">
        <v>9.6153846153846159E-3</v>
      </c>
      <c r="C10" s="3">
        <v>5.3475935828877002E-3</v>
      </c>
      <c r="D10" s="3">
        <v>7.5949367088607592E-3</v>
      </c>
      <c r="F10" t="s">
        <v>101</v>
      </c>
      <c r="G10" s="3">
        <v>8.6956521739130432E-2</v>
      </c>
      <c r="H10" s="3">
        <v>0.26666666666666666</v>
      </c>
      <c r="I10" s="3">
        <v>0.15789473684210525</v>
      </c>
      <c r="K10" t="s">
        <v>101</v>
      </c>
      <c r="L10" s="3">
        <v>0.2413793103448276</v>
      </c>
      <c r="M10" s="3">
        <v>0.3888888888888889</v>
      </c>
      <c r="N10" s="3">
        <v>0.2978723404255319</v>
      </c>
      <c r="P10" t="s">
        <v>94</v>
      </c>
      <c r="Q10" s="3">
        <v>1</v>
      </c>
      <c r="R10" s="3">
        <v>1</v>
      </c>
    </row>
    <row r="11" spans="1:18">
      <c r="A11" t="s">
        <v>103</v>
      </c>
      <c r="B11" s="3">
        <v>0.29326923076923078</v>
      </c>
      <c r="C11" s="3">
        <v>0.37433155080213903</v>
      </c>
      <c r="D11" s="3">
        <v>0.33164556962025316</v>
      </c>
      <c r="F11" t="s">
        <v>104</v>
      </c>
      <c r="G11" s="3">
        <v>0.2608695652173913</v>
      </c>
      <c r="H11" s="3">
        <v>0.2</v>
      </c>
      <c r="I11" s="3">
        <v>0.23684210526315788</v>
      </c>
      <c r="K11" t="s">
        <v>104</v>
      </c>
      <c r="L11" s="3">
        <v>0.13793103448275862</v>
      </c>
      <c r="M11" s="3">
        <v>0.16666666666666666</v>
      </c>
      <c r="N11" s="3">
        <v>0.14893617021276595</v>
      </c>
    </row>
    <row r="12" spans="1:18">
      <c r="A12" t="s">
        <v>100</v>
      </c>
      <c r="B12" s="3">
        <v>0.28846153846153844</v>
      </c>
      <c r="C12" s="3">
        <v>0.22994652406417113</v>
      </c>
      <c r="D12" s="3">
        <v>0.26075949367088608</v>
      </c>
      <c r="F12" t="s">
        <v>105</v>
      </c>
      <c r="G12" s="3">
        <v>0.21739130434782608</v>
      </c>
      <c r="H12" s="3">
        <v>0.26666666666666666</v>
      </c>
      <c r="I12" s="3">
        <v>0.23684210526315788</v>
      </c>
      <c r="K12" t="s">
        <v>106</v>
      </c>
      <c r="L12" s="3">
        <v>0.27586206896551724</v>
      </c>
      <c r="M12" s="3">
        <v>0.16666666666666666</v>
      </c>
      <c r="N12" s="3">
        <v>0.23404255319148937</v>
      </c>
    </row>
    <row r="13" spans="1:18">
      <c r="A13" t="s">
        <v>94</v>
      </c>
      <c r="B13" s="3">
        <v>1</v>
      </c>
      <c r="C13" s="3">
        <v>1</v>
      </c>
      <c r="D13" s="3">
        <v>1</v>
      </c>
      <c r="F13" t="s">
        <v>94</v>
      </c>
      <c r="G13" s="3">
        <v>1</v>
      </c>
      <c r="H13" s="3">
        <v>1</v>
      </c>
      <c r="I13" s="3">
        <v>1</v>
      </c>
      <c r="K13" t="s">
        <v>94</v>
      </c>
      <c r="L13" s="3">
        <v>1</v>
      </c>
      <c r="M13" s="3">
        <v>1</v>
      </c>
      <c r="N13" s="3">
        <v>1</v>
      </c>
    </row>
    <row r="19" spans="1:18">
      <c r="A19" t="s">
        <v>107</v>
      </c>
      <c r="F19" t="s">
        <v>89</v>
      </c>
      <c r="G19" s="13">
        <v>0</v>
      </c>
      <c r="K19" t="s">
        <v>89</v>
      </c>
      <c r="L19" s="13">
        <v>11</v>
      </c>
      <c r="P19" t="s">
        <v>89</v>
      </c>
      <c r="Q19" s="13">
        <v>20</v>
      </c>
    </row>
    <row r="21" spans="1:18">
      <c r="A21" s="12" t="s">
        <v>108</v>
      </c>
      <c r="B21" s="12" t="s">
        <v>91</v>
      </c>
      <c r="F21" s="12" t="s">
        <v>109</v>
      </c>
      <c r="G21" s="12" t="s">
        <v>91</v>
      </c>
      <c r="K21" s="12" t="s">
        <v>110</v>
      </c>
      <c r="L21" s="12" t="s">
        <v>91</v>
      </c>
      <c r="P21" s="12" t="s">
        <v>111</v>
      </c>
      <c r="Q21" s="12" t="s">
        <v>91</v>
      </c>
    </row>
    <row r="22" spans="1:18">
      <c r="A22" s="12" t="s">
        <v>22</v>
      </c>
      <c r="B22" t="s">
        <v>92</v>
      </c>
      <c r="C22" t="s">
        <v>93</v>
      </c>
      <c r="D22" t="s">
        <v>94</v>
      </c>
      <c r="F22" s="12" t="s">
        <v>22</v>
      </c>
      <c r="G22" t="s">
        <v>92</v>
      </c>
      <c r="H22" t="s">
        <v>93</v>
      </c>
      <c r="I22" t="s">
        <v>94</v>
      </c>
      <c r="K22" s="12" t="s">
        <v>22</v>
      </c>
      <c r="L22" t="s">
        <v>92</v>
      </c>
      <c r="M22" t="s">
        <v>93</v>
      </c>
      <c r="N22" t="s">
        <v>94</v>
      </c>
      <c r="P22" s="12" t="s">
        <v>22</v>
      </c>
      <c r="Q22" t="s">
        <v>93</v>
      </c>
      <c r="R22" t="s">
        <v>94</v>
      </c>
    </row>
    <row r="23" spans="1:18">
      <c r="A23" t="s">
        <v>105</v>
      </c>
      <c r="B23" s="3">
        <v>0.24519230769230768</v>
      </c>
      <c r="C23" s="3">
        <v>0.26203208556149732</v>
      </c>
      <c r="D23" s="3">
        <v>0.25316455696202533</v>
      </c>
      <c r="F23" t="s">
        <v>100</v>
      </c>
      <c r="G23" s="3">
        <v>0.39130434782608697</v>
      </c>
      <c r="H23" s="3">
        <v>0.26666666666666666</v>
      </c>
      <c r="I23" s="3">
        <v>0.34210526315789475</v>
      </c>
      <c r="K23" t="s">
        <v>100</v>
      </c>
      <c r="L23" s="3">
        <v>0.34482758620689657</v>
      </c>
      <c r="M23" s="3">
        <v>0.3888888888888889</v>
      </c>
      <c r="N23" s="3">
        <v>0.36170212765957449</v>
      </c>
      <c r="P23" t="s">
        <v>106</v>
      </c>
      <c r="Q23" s="3">
        <v>1</v>
      </c>
      <c r="R23" s="3">
        <v>1</v>
      </c>
    </row>
    <row r="24" spans="1:18">
      <c r="A24" t="s">
        <v>112</v>
      </c>
      <c r="B24" s="3">
        <v>0.23076923076923078</v>
      </c>
      <c r="C24" s="3">
        <v>0.18181818181818182</v>
      </c>
      <c r="D24" s="3">
        <v>0.20759493670886076</v>
      </c>
      <c r="F24" t="s">
        <v>113</v>
      </c>
      <c r="G24" s="3">
        <v>0.13043478260869565</v>
      </c>
      <c r="H24" s="3">
        <v>0.33333333333333331</v>
      </c>
      <c r="I24" s="3">
        <v>0.21052631578947367</v>
      </c>
      <c r="K24" t="s">
        <v>113</v>
      </c>
      <c r="L24" s="3">
        <v>0.34482758620689657</v>
      </c>
      <c r="M24" s="3">
        <v>0.16666666666666666</v>
      </c>
      <c r="N24" s="3">
        <v>0.27659574468085107</v>
      </c>
      <c r="P24" t="s">
        <v>94</v>
      </c>
      <c r="Q24" s="3">
        <v>1</v>
      </c>
      <c r="R24" s="3">
        <v>1</v>
      </c>
    </row>
    <row r="25" spans="1:18">
      <c r="A25" t="s">
        <v>102</v>
      </c>
      <c r="B25" s="3">
        <v>0</v>
      </c>
      <c r="C25" s="3">
        <v>1.06951871657754E-2</v>
      </c>
      <c r="D25" s="3">
        <v>5.0632911392405064E-3</v>
      </c>
      <c r="F25" t="s">
        <v>104</v>
      </c>
      <c r="G25" s="3">
        <v>0.30434782608695654</v>
      </c>
      <c r="H25" s="3">
        <v>0.26666666666666666</v>
      </c>
      <c r="I25" s="3">
        <v>0.28947368421052633</v>
      </c>
      <c r="K25" t="s">
        <v>104</v>
      </c>
      <c r="L25" s="3">
        <v>0.17241379310344829</v>
      </c>
      <c r="M25" s="3">
        <v>5.5555555555555552E-2</v>
      </c>
      <c r="N25" s="3">
        <v>0.1276595744680851</v>
      </c>
    </row>
    <row r="26" spans="1:18">
      <c r="A26" t="s">
        <v>103</v>
      </c>
      <c r="B26" s="3">
        <v>0.23557692307692307</v>
      </c>
      <c r="C26" s="3">
        <v>0.25133689839572193</v>
      </c>
      <c r="D26" s="3">
        <v>0.24303797468354429</v>
      </c>
      <c r="F26" t="s">
        <v>106</v>
      </c>
      <c r="G26" s="3">
        <v>0.17391304347826086</v>
      </c>
      <c r="H26" s="3">
        <v>0.13333333333333333</v>
      </c>
      <c r="I26" s="3">
        <v>0.15789473684210525</v>
      </c>
      <c r="K26" t="s">
        <v>106</v>
      </c>
      <c r="L26" s="3">
        <v>0.13793103448275862</v>
      </c>
      <c r="M26" s="3">
        <v>0.3888888888888889</v>
      </c>
      <c r="N26" s="3">
        <v>0.23404255319148937</v>
      </c>
    </row>
    <row r="27" spans="1:18">
      <c r="A27" t="s">
        <v>100</v>
      </c>
      <c r="B27" s="3">
        <v>0.28846153846153844</v>
      </c>
      <c r="C27" s="3">
        <v>0.29411764705882354</v>
      </c>
      <c r="D27" s="3">
        <v>0.29113924050632911</v>
      </c>
      <c r="F27" t="s">
        <v>94</v>
      </c>
      <c r="G27" s="3">
        <v>1</v>
      </c>
      <c r="H27" s="3">
        <v>1</v>
      </c>
      <c r="I27" s="3">
        <v>1</v>
      </c>
      <c r="K27" t="s">
        <v>94</v>
      </c>
      <c r="L27" s="3">
        <v>1</v>
      </c>
      <c r="M27" s="3">
        <v>1</v>
      </c>
      <c r="N27" s="3">
        <v>1</v>
      </c>
    </row>
    <row r="28" spans="1:18">
      <c r="A28" t="s">
        <v>94</v>
      </c>
      <c r="B28" s="3">
        <v>1</v>
      </c>
      <c r="C28" s="3">
        <v>1</v>
      </c>
      <c r="D28" s="3">
        <v>1</v>
      </c>
    </row>
    <row r="30" spans="1:18">
      <c r="A30" s="12" t="s">
        <v>89</v>
      </c>
      <c r="B30" s="13">
        <v>0</v>
      </c>
    </row>
    <row r="32" spans="1:18">
      <c r="A32" s="12" t="s">
        <v>109</v>
      </c>
      <c r="C32" s="12" t="s">
        <v>91</v>
      </c>
    </row>
    <row r="33" spans="1:5">
      <c r="A33" s="12" t="s">
        <v>22</v>
      </c>
      <c r="B33" s="12" t="s">
        <v>114</v>
      </c>
      <c r="C33" t="s">
        <v>92</v>
      </c>
      <c r="D33" t="s">
        <v>93</v>
      </c>
      <c r="E33" t="s">
        <v>94</v>
      </c>
    </row>
    <row r="34" spans="1:5">
      <c r="A34" t="s">
        <v>100</v>
      </c>
      <c r="B34" t="s">
        <v>100</v>
      </c>
      <c r="C34" s="3">
        <v>0.66666666666666663</v>
      </c>
      <c r="D34" s="3">
        <v>0.5</v>
      </c>
      <c r="E34" s="3">
        <v>0.61538461538461542</v>
      </c>
    </row>
    <row r="35" spans="1:5">
      <c r="B35" t="s">
        <v>104</v>
      </c>
      <c r="C35" s="3">
        <v>0.1111111111111111</v>
      </c>
      <c r="D35" s="3">
        <v>0.25</v>
      </c>
      <c r="E35" s="3">
        <v>0.15384615384615385</v>
      </c>
    </row>
    <row r="36" spans="1:5">
      <c r="B36" t="s">
        <v>106</v>
      </c>
      <c r="C36" s="3">
        <v>0.22222222222222221</v>
      </c>
      <c r="D36" s="3">
        <v>0.25</v>
      </c>
      <c r="E36" s="3">
        <v>0.23076923076923078</v>
      </c>
    </row>
    <row r="37" spans="1:5">
      <c r="A37" t="s">
        <v>115</v>
      </c>
      <c r="C37" s="3">
        <v>0.39130434782608697</v>
      </c>
      <c r="D37" s="3">
        <v>0.26666666666666666</v>
      </c>
      <c r="E37" s="3">
        <v>0.34210526315789475</v>
      </c>
    </row>
    <row r="38" spans="1:5">
      <c r="A38" t="s">
        <v>113</v>
      </c>
      <c r="B38" t="s">
        <v>101</v>
      </c>
      <c r="C38" s="3">
        <v>0.66666666666666663</v>
      </c>
      <c r="D38" s="3">
        <v>0.4</v>
      </c>
      <c r="E38" s="3">
        <v>0.5</v>
      </c>
    </row>
    <row r="39" spans="1:5">
      <c r="B39" t="s">
        <v>106</v>
      </c>
      <c r="C39" s="3">
        <v>0.33333333333333331</v>
      </c>
      <c r="D39" s="3">
        <v>0.6</v>
      </c>
      <c r="E39" s="3">
        <v>0.5</v>
      </c>
    </row>
    <row r="40" spans="1:5">
      <c r="A40" t="s">
        <v>116</v>
      </c>
      <c r="C40" s="3">
        <v>0.13043478260869565</v>
      </c>
      <c r="D40" s="3">
        <v>0.33333333333333331</v>
      </c>
      <c r="E40" s="3">
        <v>0.21052631578947367</v>
      </c>
    </row>
    <row r="41" spans="1:5">
      <c r="A41" t="s">
        <v>104</v>
      </c>
      <c r="B41" t="s">
        <v>100</v>
      </c>
      <c r="C41" s="3">
        <v>0.42857142857142855</v>
      </c>
      <c r="D41" s="3">
        <v>0.5</v>
      </c>
      <c r="E41" s="3">
        <v>0.45454545454545453</v>
      </c>
    </row>
    <row r="42" spans="1:5">
      <c r="B42" t="s">
        <v>104</v>
      </c>
      <c r="C42" s="3">
        <v>0.5714285714285714</v>
      </c>
      <c r="D42" s="3">
        <v>0.5</v>
      </c>
      <c r="E42" s="3">
        <v>0.54545454545454541</v>
      </c>
    </row>
    <row r="43" spans="1:5">
      <c r="A43" t="s">
        <v>117</v>
      </c>
      <c r="C43" s="3">
        <v>0.30434782608695654</v>
      </c>
      <c r="D43" s="3">
        <v>0.26666666666666666</v>
      </c>
      <c r="E43" s="3">
        <v>0.28947368421052633</v>
      </c>
    </row>
    <row r="44" spans="1:5">
      <c r="A44" t="s">
        <v>106</v>
      </c>
      <c r="B44" t="s">
        <v>100</v>
      </c>
      <c r="C44" s="3">
        <v>0.25</v>
      </c>
      <c r="D44" s="3">
        <v>0</v>
      </c>
      <c r="E44" s="3">
        <v>0.16666666666666666</v>
      </c>
    </row>
    <row r="45" spans="1:5">
      <c r="B45" t="s">
        <v>101</v>
      </c>
      <c r="C45" s="3">
        <v>0</v>
      </c>
      <c r="D45" s="3">
        <v>1</v>
      </c>
      <c r="E45" s="3">
        <v>0.33333333333333331</v>
      </c>
    </row>
    <row r="46" spans="1:5">
      <c r="B46" t="s">
        <v>104</v>
      </c>
      <c r="C46" s="3">
        <v>0.25</v>
      </c>
      <c r="D46" s="3">
        <v>0</v>
      </c>
      <c r="E46" s="3">
        <v>0.16666666666666666</v>
      </c>
    </row>
    <row r="47" spans="1:5">
      <c r="B47" t="s">
        <v>106</v>
      </c>
      <c r="C47" s="3">
        <v>0.5</v>
      </c>
      <c r="D47" s="3">
        <v>0</v>
      </c>
      <c r="E47" s="3">
        <v>0.33333333333333331</v>
      </c>
    </row>
    <row r="48" spans="1:5">
      <c r="A48" t="s">
        <v>118</v>
      </c>
      <c r="C48" s="3">
        <v>0.17391304347826086</v>
      </c>
      <c r="D48" s="3">
        <v>0.13333333333333333</v>
      </c>
      <c r="E48" s="3">
        <v>0.15789473684210525</v>
      </c>
    </row>
    <row r="49" spans="1:5">
      <c r="A49" t="s">
        <v>94</v>
      </c>
      <c r="C49" s="3">
        <v>1</v>
      </c>
      <c r="D49" s="3">
        <v>1</v>
      </c>
      <c r="E49" s="3">
        <v>1</v>
      </c>
    </row>
    <row r="50" spans="1:5">
      <c r="B50" s="13"/>
    </row>
  </sheetData>
  <pageMargins left="0.7" right="0.7" top="0.75" bottom="0.75"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47"/>
  <sheetViews>
    <sheetView workbookViewId="0"/>
  </sheetViews>
  <sheetFormatPr defaultRowHeight="15" customHeight="1"/>
  <cols>
    <col min="1" max="1" width="11.85546875" customWidth="1"/>
    <col min="3" max="3" width="16.85546875" customWidth="1"/>
    <col min="5" max="5" width="8.7109375" customWidth="1"/>
    <col min="6" max="6" width="19.5703125" bestFit="1" customWidth="1"/>
    <col min="7" max="7" width="14.42578125" customWidth="1"/>
    <col min="8" max="9" width="25.42578125" bestFit="1" customWidth="1"/>
    <col min="10" max="10" width="12.85546875" customWidth="1"/>
    <col min="11" max="11" width="11.7109375" customWidth="1"/>
    <col min="12" max="12" width="21.42578125" customWidth="1"/>
    <col min="13" max="13" width="12.5703125" customWidth="1"/>
    <col min="14" max="14" width="15" bestFit="1" customWidth="1"/>
    <col min="15" max="15" width="12.28515625" customWidth="1"/>
    <col min="16" max="16" width="17.28515625" customWidth="1"/>
    <col min="17" max="17" width="15.85546875" customWidth="1"/>
    <col min="18" max="18" width="15.7109375" customWidth="1"/>
    <col min="19" max="19" width="18.42578125" customWidth="1"/>
    <col min="20" max="20" width="12.5703125" customWidth="1"/>
    <col min="21" max="21" width="15.7109375" customWidth="1"/>
    <col min="22" max="22" width="11.28515625" customWidth="1"/>
    <col min="23" max="23" width="18.28515625" customWidth="1"/>
    <col min="24" max="24" width="21.28515625" customWidth="1"/>
    <col min="25" max="25" width="19" customWidth="1"/>
    <col min="26" max="26" width="11" customWidth="1"/>
    <col min="27" max="27" width="9" customWidth="1"/>
    <col min="28" max="28" width="17.5703125" customWidth="1"/>
    <col min="29" max="29" width="17.7109375" customWidth="1"/>
    <col min="31" max="31" width="10.5703125" customWidth="1"/>
    <col min="32" max="33" width="9.7109375" customWidth="1"/>
    <col min="34" max="34" width="12.28515625" customWidth="1"/>
  </cols>
  <sheetData>
    <row r="1" spans="1:23">
      <c r="A1" t="s">
        <v>119</v>
      </c>
      <c r="B1" t="s">
        <v>120</v>
      </c>
      <c r="C1" t="s">
        <v>121</v>
      </c>
      <c r="D1" t="s">
        <v>122</v>
      </c>
      <c r="E1" t="s">
        <v>123</v>
      </c>
      <c r="F1" t="s">
        <v>124</v>
      </c>
      <c r="G1" t="s">
        <v>125</v>
      </c>
      <c r="H1" t="s">
        <v>126</v>
      </c>
      <c r="I1" t="s">
        <v>127</v>
      </c>
      <c r="J1" t="s">
        <v>128</v>
      </c>
      <c r="K1" t="s">
        <v>129</v>
      </c>
      <c r="L1" t="s">
        <v>130</v>
      </c>
      <c r="M1" t="s">
        <v>131</v>
      </c>
      <c r="N1" t="s">
        <v>132</v>
      </c>
      <c r="O1" t="s">
        <v>133</v>
      </c>
      <c r="P1" t="s">
        <v>134</v>
      </c>
      <c r="Q1" t="s">
        <v>135</v>
      </c>
      <c r="R1" t="s">
        <v>136</v>
      </c>
      <c r="S1" t="s">
        <v>137</v>
      </c>
      <c r="T1" t="s">
        <v>138</v>
      </c>
      <c r="U1" t="s">
        <v>139</v>
      </c>
      <c r="V1" t="s">
        <v>140</v>
      </c>
      <c r="W1" t="s">
        <v>141</v>
      </c>
    </row>
    <row r="2" spans="1:23">
      <c r="A2">
        <v>390</v>
      </c>
      <c r="B2" t="s">
        <v>142</v>
      </c>
      <c r="C2" t="s">
        <v>143</v>
      </c>
      <c r="D2">
        <v>18</v>
      </c>
      <c r="E2" t="s">
        <v>40</v>
      </c>
      <c r="F2" t="s">
        <v>144</v>
      </c>
      <c r="G2" t="s">
        <v>145</v>
      </c>
      <c r="H2" t="s">
        <v>146</v>
      </c>
      <c r="I2" t="s">
        <v>146</v>
      </c>
      <c r="J2" t="s">
        <v>147</v>
      </c>
      <c r="K2" t="s">
        <v>147</v>
      </c>
      <c r="L2" t="s">
        <v>148</v>
      </c>
      <c r="M2">
        <v>1</v>
      </c>
      <c r="N2" t="s">
        <v>149</v>
      </c>
      <c r="O2" t="s">
        <v>149</v>
      </c>
      <c r="P2" t="s">
        <v>150</v>
      </c>
      <c r="Q2" t="s">
        <v>150</v>
      </c>
      <c r="R2" t="s">
        <v>149</v>
      </c>
      <c r="S2" t="s">
        <v>149</v>
      </c>
      <c r="T2">
        <v>0</v>
      </c>
      <c r="U2">
        <v>6</v>
      </c>
      <c r="V2">
        <v>5</v>
      </c>
      <c r="W2">
        <v>0</v>
      </c>
    </row>
    <row r="3" spans="1:23">
      <c r="A3">
        <v>260</v>
      </c>
      <c r="B3" t="s">
        <v>151</v>
      </c>
      <c r="C3" t="s">
        <v>143</v>
      </c>
      <c r="D3">
        <v>17</v>
      </c>
      <c r="E3" t="s">
        <v>40</v>
      </c>
      <c r="F3" t="s">
        <v>152</v>
      </c>
      <c r="G3" t="s">
        <v>145</v>
      </c>
      <c r="H3" t="s">
        <v>100</v>
      </c>
      <c r="I3" t="s">
        <v>100</v>
      </c>
      <c r="J3" t="s">
        <v>153</v>
      </c>
      <c r="K3" t="s">
        <v>153</v>
      </c>
      <c r="L3" t="s">
        <v>154</v>
      </c>
      <c r="M3">
        <v>0</v>
      </c>
      <c r="N3" t="s">
        <v>149</v>
      </c>
      <c r="O3" t="s">
        <v>150</v>
      </c>
      <c r="P3" t="s">
        <v>150</v>
      </c>
      <c r="Q3" t="s">
        <v>150</v>
      </c>
      <c r="R3" t="s">
        <v>150</v>
      </c>
      <c r="S3" t="s">
        <v>150</v>
      </c>
      <c r="T3">
        <v>0</v>
      </c>
      <c r="U3">
        <v>10</v>
      </c>
      <c r="V3">
        <v>9</v>
      </c>
      <c r="W3">
        <v>0</v>
      </c>
    </row>
    <row r="4" spans="1:23">
      <c r="A4">
        <v>344</v>
      </c>
      <c r="B4" t="s">
        <v>151</v>
      </c>
      <c r="C4" t="s">
        <v>143</v>
      </c>
      <c r="D4">
        <v>17</v>
      </c>
      <c r="E4" t="s">
        <v>40</v>
      </c>
      <c r="F4" t="s">
        <v>144</v>
      </c>
      <c r="G4" t="s">
        <v>155</v>
      </c>
      <c r="H4" t="s">
        <v>100</v>
      </c>
      <c r="I4" t="s">
        <v>100</v>
      </c>
      <c r="J4" t="s">
        <v>156</v>
      </c>
      <c r="K4" t="s">
        <v>156</v>
      </c>
      <c r="L4" t="s">
        <v>148</v>
      </c>
      <c r="M4">
        <v>1</v>
      </c>
      <c r="N4" t="s">
        <v>149</v>
      </c>
      <c r="O4" t="s">
        <v>149</v>
      </c>
      <c r="P4" t="s">
        <v>149</v>
      </c>
      <c r="Q4" t="s">
        <v>150</v>
      </c>
      <c r="R4" t="s">
        <v>150</v>
      </c>
      <c r="S4" t="s">
        <v>150</v>
      </c>
      <c r="T4">
        <v>0</v>
      </c>
      <c r="U4">
        <v>9</v>
      </c>
      <c r="V4">
        <v>8</v>
      </c>
      <c r="W4">
        <v>0</v>
      </c>
    </row>
    <row r="5" spans="1:23">
      <c r="A5">
        <v>368</v>
      </c>
      <c r="B5" t="s">
        <v>142</v>
      </c>
      <c r="C5" t="s">
        <v>143</v>
      </c>
      <c r="D5">
        <v>17</v>
      </c>
      <c r="E5" t="s">
        <v>41</v>
      </c>
      <c r="F5" t="s">
        <v>144</v>
      </c>
      <c r="G5" t="s">
        <v>145</v>
      </c>
      <c r="H5" t="s">
        <v>146</v>
      </c>
      <c r="I5" t="s">
        <v>146</v>
      </c>
      <c r="J5" t="s">
        <v>147</v>
      </c>
      <c r="K5" t="s">
        <v>153</v>
      </c>
      <c r="L5" t="s">
        <v>157</v>
      </c>
      <c r="M5">
        <v>1</v>
      </c>
      <c r="N5" t="s">
        <v>149</v>
      </c>
      <c r="O5" t="s">
        <v>150</v>
      </c>
      <c r="P5" t="s">
        <v>149</v>
      </c>
      <c r="Q5" t="s">
        <v>150</v>
      </c>
      <c r="R5" t="s">
        <v>150</v>
      </c>
      <c r="S5" t="s">
        <v>150</v>
      </c>
      <c r="T5">
        <v>0</v>
      </c>
      <c r="U5">
        <v>7</v>
      </c>
      <c r="V5">
        <v>6</v>
      </c>
      <c r="W5">
        <v>0</v>
      </c>
    </row>
    <row r="6" spans="1:23">
      <c r="A6">
        <v>147</v>
      </c>
      <c r="B6" t="s">
        <v>151</v>
      </c>
      <c r="C6" t="s">
        <v>143</v>
      </c>
      <c r="D6">
        <v>15</v>
      </c>
      <c r="E6" t="s">
        <v>40</v>
      </c>
      <c r="F6" t="s">
        <v>144</v>
      </c>
      <c r="G6" t="s">
        <v>145</v>
      </c>
      <c r="H6" t="s">
        <v>158</v>
      </c>
      <c r="I6" t="s">
        <v>100</v>
      </c>
      <c r="J6" t="s">
        <v>159</v>
      </c>
      <c r="K6" t="s">
        <v>153</v>
      </c>
      <c r="L6" t="s">
        <v>148</v>
      </c>
      <c r="M6">
        <v>3</v>
      </c>
      <c r="N6" t="s">
        <v>149</v>
      </c>
      <c r="O6" t="s">
        <v>149</v>
      </c>
      <c r="P6" t="s">
        <v>149</v>
      </c>
      <c r="Q6" t="s">
        <v>150</v>
      </c>
      <c r="R6" t="s">
        <v>150</v>
      </c>
      <c r="S6" t="s">
        <v>149</v>
      </c>
      <c r="T6">
        <v>0</v>
      </c>
      <c r="U6">
        <v>6</v>
      </c>
      <c r="V6">
        <v>7</v>
      </c>
      <c r="W6">
        <v>0</v>
      </c>
    </row>
    <row r="7" spans="1:23">
      <c r="A7">
        <v>131</v>
      </c>
      <c r="B7" t="s">
        <v>151</v>
      </c>
      <c r="C7" t="s">
        <v>143</v>
      </c>
      <c r="D7">
        <v>15</v>
      </c>
      <c r="E7" t="s">
        <v>41</v>
      </c>
      <c r="F7" t="s">
        <v>144</v>
      </c>
      <c r="G7" t="s">
        <v>145</v>
      </c>
      <c r="H7" t="s">
        <v>158</v>
      </c>
      <c r="I7" t="s">
        <v>101</v>
      </c>
      <c r="J7" t="s">
        <v>153</v>
      </c>
      <c r="K7" t="s">
        <v>160</v>
      </c>
      <c r="L7" t="s">
        <v>161</v>
      </c>
      <c r="M7">
        <v>2</v>
      </c>
      <c r="N7" t="s">
        <v>149</v>
      </c>
      <c r="O7" t="s">
        <v>149</v>
      </c>
      <c r="P7" t="s">
        <v>149</v>
      </c>
      <c r="Q7" t="s">
        <v>150</v>
      </c>
      <c r="R7" t="s">
        <v>150</v>
      </c>
      <c r="S7" t="s">
        <v>150</v>
      </c>
      <c r="T7">
        <v>0</v>
      </c>
      <c r="U7">
        <v>12</v>
      </c>
      <c r="V7">
        <v>0</v>
      </c>
      <c r="W7">
        <v>0</v>
      </c>
    </row>
    <row r="8" spans="1:23">
      <c r="A8">
        <v>138</v>
      </c>
      <c r="B8" t="s">
        <v>151</v>
      </c>
      <c r="C8" t="s">
        <v>143</v>
      </c>
      <c r="D8">
        <v>16</v>
      </c>
      <c r="E8" t="s">
        <v>40</v>
      </c>
      <c r="F8" t="s">
        <v>144</v>
      </c>
      <c r="G8" t="s">
        <v>155</v>
      </c>
      <c r="H8" t="s">
        <v>158</v>
      </c>
      <c r="I8" t="s">
        <v>158</v>
      </c>
      <c r="J8" t="s">
        <v>147</v>
      </c>
      <c r="K8" t="s">
        <v>147</v>
      </c>
      <c r="L8" t="s">
        <v>157</v>
      </c>
      <c r="M8">
        <v>2</v>
      </c>
      <c r="N8" t="s">
        <v>149</v>
      </c>
      <c r="O8" t="s">
        <v>149</v>
      </c>
      <c r="P8" t="s">
        <v>150</v>
      </c>
      <c r="Q8" t="s">
        <v>149</v>
      </c>
      <c r="R8" t="s">
        <v>150</v>
      </c>
      <c r="S8" t="s">
        <v>150</v>
      </c>
      <c r="T8">
        <v>0</v>
      </c>
      <c r="U8">
        <v>4</v>
      </c>
      <c r="V8">
        <v>0</v>
      </c>
      <c r="W8">
        <v>0</v>
      </c>
    </row>
    <row r="9" spans="1:23">
      <c r="A9">
        <v>338</v>
      </c>
      <c r="B9" t="s">
        <v>151</v>
      </c>
      <c r="C9" t="s">
        <v>143</v>
      </c>
      <c r="D9">
        <v>17</v>
      </c>
      <c r="E9" t="s">
        <v>40</v>
      </c>
      <c r="F9" t="s">
        <v>144</v>
      </c>
      <c r="G9" t="s">
        <v>145</v>
      </c>
      <c r="H9" t="s">
        <v>158</v>
      </c>
      <c r="I9" t="s">
        <v>100</v>
      </c>
      <c r="J9" t="s">
        <v>147</v>
      </c>
      <c r="K9" t="s">
        <v>147</v>
      </c>
      <c r="L9" t="s">
        <v>148</v>
      </c>
      <c r="M9">
        <v>0</v>
      </c>
      <c r="N9" t="s">
        <v>149</v>
      </c>
      <c r="O9" t="s">
        <v>150</v>
      </c>
      <c r="P9" t="s">
        <v>149</v>
      </c>
      <c r="Q9" t="s">
        <v>150</v>
      </c>
      <c r="R9" t="s">
        <v>150</v>
      </c>
      <c r="S9" t="s">
        <v>150</v>
      </c>
      <c r="T9">
        <v>0</v>
      </c>
      <c r="U9">
        <v>7</v>
      </c>
      <c r="V9">
        <v>8</v>
      </c>
      <c r="W9">
        <v>0</v>
      </c>
    </row>
    <row r="10" spans="1:23">
      <c r="A10">
        <v>388</v>
      </c>
      <c r="B10" t="s">
        <v>142</v>
      </c>
      <c r="C10" t="s">
        <v>143</v>
      </c>
      <c r="D10">
        <v>19</v>
      </c>
      <c r="E10" t="s">
        <v>41</v>
      </c>
      <c r="F10" t="s">
        <v>144</v>
      </c>
      <c r="G10" t="s">
        <v>145</v>
      </c>
      <c r="H10" t="s">
        <v>100</v>
      </c>
      <c r="I10" t="s">
        <v>158</v>
      </c>
      <c r="J10" t="s">
        <v>153</v>
      </c>
      <c r="K10" t="s">
        <v>147</v>
      </c>
      <c r="L10" t="s">
        <v>161</v>
      </c>
      <c r="M10">
        <v>1</v>
      </c>
      <c r="N10" t="s">
        <v>149</v>
      </c>
      <c r="O10" t="s">
        <v>149</v>
      </c>
      <c r="P10" t="s">
        <v>150</v>
      </c>
      <c r="Q10" t="s">
        <v>149</v>
      </c>
      <c r="R10" t="s">
        <v>150</v>
      </c>
      <c r="S10" t="s">
        <v>149</v>
      </c>
      <c r="T10">
        <v>0</v>
      </c>
      <c r="U10">
        <v>7</v>
      </c>
      <c r="V10">
        <v>5</v>
      </c>
      <c r="W10">
        <v>0</v>
      </c>
    </row>
    <row r="11" spans="1:23">
      <c r="A11">
        <v>265</v>
      </c>
      <c r="B11" t="s">
        <v>151</v>
      </c>
      <c r="C11" t="s">
        <v>143</v>
      </c>
      <c r="D11">
        <v>18</v>
      </c>
      <c r="E11" t="s">
        <v>40</v>
      </c>
      <c r="F11" t="s">
        <v>144</v>
      </c>
      <c r="G11" t="s">
        <v>145</v>
      </c>
      <c r="H11" t="s">
        <v>100</v>
      </c>
      <c r="I11" t="s">
        <v>100</v>
      </c>
      <c r="J11" t="s">
        <v>156</v>
      </c>
      <c r="K11" t="s">
        <v>153</v>
      </c>
      <c r="L11" t="s">
        <v>161</v>
      </c>
      <c r="M11">
        <v>0</v>
      </c>
      <c r="N11" t="s">
        <v>149</v>
      </c>
      <c r="O11" t="s">
        <v>150</v>
      </c>
      <c r="P11" t="s">
        <v>150</v>
      </c>
      <c r="Q11" t="s">
        <v>150</v>
      </c>
      <c r="R11" t="s">
        <v>150</v>
      </c>
      <c r="S11" t="s">
        <v>150</v>
      </c>
      <c r="T11">
        <v>0</v>
      </c>
      <c r="U11">
        <v>9</v>
      </c>
      <c r="V11">
        <v>10</v>
      </c>
      <c r="W11">
        <v>0</v>
      </c>
    </row>
    <row r="12" spans="1:23">
      <c r="A12">
        <v>334</v>
      </c>
      <c r="B12" t="s">
        <v>151</v>
      </c>
      <c r="C12" t="s">
        <v>143</v>
      </c>
      <c r="D12">
        <v>18</v>
      </c>
      <c r="E12" t="s">
        <v>40</v>
      </c>
      <c r="F12" t="s">
        <v>152</v>
      </c>
      <c r="G12" t="s">
        <v>145</v>
      </c>
      <c r="H12" t="s">
        <v>100</v>
      </c>
      <c r="I12" t="s">
        <v>100</v>
      </c>
      <c r="J12" t="s">
        <v>147</v>
      </c>
      <c r="K12" t="s">
        <v>147</v>
      </c>
      <c r="L12" t="s">
        <v>148</v>
      </c>
      <c r="M12">
        <v>0</v>
      </c>
      <c r="N12" t="s">
        <v>149</v>
      </c>
      <c r="O12" t="s">
        <v>149</v>
      </c>
      <c r="P12" t="s">
        <v>150</v>
      </c>
      <c r="Q12" t="s">
        <v>149</v>
      </c>
      <c r="R12" t="s">
        <v>150</v>
      </c>
      <c r="S12" t="s">
        <v>150</v>
      </c>
      <c r="T12">
        <v>0</v>
      </c>
      <c r="U12">
        <v>8</v>
      </c>
      <c r="V12">
        <v>8</v>
      </c>
      <c r="W12">
        <v>0</v>
      </c>
    </row>
    <row r="13" spans="1:23">
      <c r="A13">
        <v>136</v>
      </c>
      <c r="B13" t="s">
        <v>151</v>
      </c>
      <c r="C13" t="s">
        <v>143</v>
      </c>
      <c r="D13">
        <v>15</v>
      </c>
      <c r="E13" t="s">
        <v>40</v>
      </c>
      <c r="F13" t="s">
        <v>144</v>
      </c>
      <c r="G13" t="s">
        <v>145</v>
      </c>
      <c r="H13" t="s">
        <v>101</v>
      </c>
      <c r="I13" t="s">
        <v>101</v>
      </c>
      <c r="J13" t="s">
        <v>153</v>
      </c>
      <c r="K13" t="s">
        <v>156</v>
      </c>
      <c r="L13" t="s">
        <v>161</v>
      </c>
      <c r="M13">
        <v>0</v>
      </c>
      <c r="N13" t="s">
        <v>149</v>
      </c>
      <c r="O13" t="s">
        <v>149</v>
      </c>
      <c r="P13" t="s">
        <v>150</v>
      </c>
      <c r="Q13" t="s">
        <v>150</v>
      </c>
      <c r="R13" t="s">
        <v>150</v>
      </c>
      <c r="S13" t="s">
        <v>150</v>
      </c>
      <c r="T13">
        <v>0</v>
      </c>
      <c r="U13">
        <v>11</v>
      </c>
      <c r="V13">
        <v>0</v>
      </c>
      <c r="W13">
        <v>0</v>
      </c>
    </row>
    <row r="14" spans="1:23">
      <c r="A14">
        <v>132</v>
      </c>
      <c r="B14" t="s">
        <v>151</v>
      </c>
      <c r="C14" t="s">
        <v>143</v>
      </c>
      <c r="D14">
        <v>15</v>
      </c>
      <c r="E14" t="s">
        <v>40</v>
      </c>
      <c r="F14" t="s">
        <v>144</v>
      </c>
      <c r="G14" t="s">
        <v>145</v>
      </c>
      <c r="H14" t="s">
        <v>146</v>
      </c>
      <c r="I14" t="s">
        <v>146</v>
      </c>
      <c r="J14" t="s">
        <v>156</v>
      </c>
      <c r="K14" t="s">
        <v>147</v>
      </c>
      <c r="L14" t="s">
        <v>157</v>
      </c>
      <c r="M14">
        <v>0</v>
      </c>
      <c r="N14" t="s">
        <v>149</v>
      </c>
      <c r="O14" t="s">
        <v>149</v>
      </c>
      <c r="P14" t="s">
        <v>150</v>
      </c>
      <c r="Q14" t="s">
        <v>149</v>
      </c>
      <c r="R14" t="s">
        <v>150</v>
      </c>
      <c r="S14" t="s">
        <v>150</v>
      </c>
      <c r="T14">
        <v>0</v>
      </c>
      <c r="U14">
        <v>8</v>
      </c>
      <c r="V14">
        <v>0</v>
      </c>
      <c r="W14">
        <v>0</v>
      </c>
    </row>
    <row r="15" spans="1:23">
      <c r="A15">
        <v>317</v>
      </c>
      <c r="B15" t="s">
        <v>151</v>
      </c>
      <c r="C15" t="s">
        <v>143</v>
      </c>
      <c r="D15">
        <v>18</v>
      </c>
      <c r="E15" t="s">
        <v>40</v>
      </c>
      <c r="F15" t="s">
        <v>144</v>
      </c>
      <c r="G15" t="s">
        <v>145</v>
      </c>
      <c r="H15" t="s">
        <v>100</v>
      </c>
      <c r="I15" t="s">
        <v>146</v>
      </c>
      <c r="J15" t="s">
        <v>153</v>
      </c>
      <c r="K15" t="s">
        <v>147</v>
      </c>
      <c r="L15" t="s">
        <v>148</v>
      </c>
      <c r="M15">
        <v>0</v>
      </c>
      <c r="N15" t="s">
        <v>149</v>
      </c>
      <c r="O15" t="s">
        <v>150</v>
      </c>
      <c r="P15" t="s">
        <v>150</v>
      </c>
      <c r="Q15" t="s">
        <v>150</v>
      </c>
      <c r="R15" t="s">
        <v>150</v>
      </c>
      <c r="S15" t="s">
        <v>149</v>
      </c>
      <c r="T15">
        <v>0</v>
      </c>
      <c r="U15">
        <v>8</v>
      </c>
      <c r="V15">
        <v>8</v>
      </c>
      <c r="W15">
        <v>0</v>
      </c>
    </row>
    <row r="16" spans="1:23">
      <c r="A16">
        <v>297</v>
      </c>
      <c r="B16" t="s">
        <v>151</v>
      </c>
      <c r="C16" t="s">
        <v>143</v>
      </c>
      <c r="D16">
        <v>19</v>
      </c>
      <c r="E16" t="s">
        <v>40</v>
      </c>
      <c r="F16" t="s">
        <v>144</v>
      </c>
      <c r="G16" t="s">
        <v>145</v>
      </c>
      <c r="H16" t="s">
        <v>101</v>
      </c>
      <c r="I16" t="s">
        <v>101</v>
      </c>
      <c r="J16" t="s">
        <v>159</v>
      </c>
      <c r="K16" t="s">
        <v>147</v>
      </c>
      <c r="L16" t="s">
        <v>148</v>
      </c>
      <c r="M16">
        <v>0</v>
      </c>
      <c r="N16" t="s">
        <v>149</v>
      </c>
      <c r="O16" t="s">
        <v>150</v>
      </c>
      <c r="P16" t="s">
        <v>150</v>
      </c>
      <c r="Q16" t="s">
        <v>150</v>
      </c>
      <c r="R16" t="s">
        <v>150</v>
      </c>
      <c r="S16" t="s">
        <v>149</v>
      </c>
      <c r="T16">
        <v>0</v>
      </c>
      <c r="U16">
        <v>10</v>
      </c>
      <c r="V16">
        <v>9</v>
      </c>
      <c r="W16">
        <v>0</v>
      </c>
    </row>
    <row r="17" spans="1:23">
      <c r="A17">
        <v>245</v>
      </c>
      <c r="B17" t="s">
        <v>151</v>
      </c>
      <c r="C17" t="s">
        <v>143</v>
      </c>
      <c r="D17">
        <v>18</v>
      </c>
      <c r="E17" t="s">
        <v>40</v>
      </c>
      <c r="F17" t="s">
        <v>144</v>
      </c>
      <c r="G17" t="s">
        <v>145</v>
      </c>
      <c r="H17" t="s">
        <v>100</v>
      </c>
      <c r="I17" t="s">
        <v>146</v>
      </c>
      <c r="J17" t="s">
        <v>147</v>
      </c>
      <c r="K17" t="s">
        <v>147</v>
      </c>
      <c r="L17" t="s">
        <v>161</v>
      </c>
      <c r="M17">
        <v>0</v>
      </c>
      <c r="N17" t="s">
        <v>149</v>
      </c>
      <c r="O17" t="s">
        <v>150</v>
      </c>
      <c r="P17" t="s">
        <v>149</v>
      </c>
      <c r="Q17" t="s">
        <v>149</v>
      </c>
      <c r="R17" t="s">
        <v>150</v>
      </c>
      <c r="S17" t="s">
        <v>150</v>
      </c>
      <c r="T17">
        <v>0</v>
      </c>
      <c r="U17">
        <v>7</v>
      </c>
      <c r="V17">
        <v>0</v>
      </c>
      <c r="W17">
        <v>0</v>
      </c>
    </row>
    <row r="18" spans="1:23">
      <c r="A18">
        <v>335</v>
      </c>
      <c r="B18" t="s">
        <v>151</v>
      </c>
      <c r="C18" t="s">
        <v>143</v>
      </c>
      <c r="D18">
        <v>18</v>
      </c>
      <c r="E18" t="s">
        <v>41</v>
      </c>
      <c r="F18" t="s">
        <v>144</v>
      </c>
      <c r="G18" t="s">
        <v>145</v>
      </c>
      <c r="H18" t="s">
        <v>100</v>
      </c>
      <c r="I18" t="s">
        <v>100</v>
      </c>
      <c r="J18" t="s">
        <v>156</v>
      </c>
      <c r="K18" t="s">
        <v>147</v>
      </c>
      <c r="L18" t="s">
        <v>154</v>
      </c>
      <c r="M18">
        <v>0</v>
      </c>
      <c r="N18" t="s">
        <v>149</v>
      </c>
      <c r="O18" t="s">
        <v>149</v>
      </c>
      <c r="P18" t="s">
        <v>150</v>
      </c>
      <c r="Q18" t="s">
        <v>150</v>
      </c>
      <c r="R18" t="s">
        <v>149</v>
      </c>
      <c r="S18" t="s">
        <v>149</v>
      </c>
      <c r="T18">
        <v>0</v>
      </c>
      <c r="U18">
        <v>10</v>
      </c>
      <c r="V18">
        <v>9</v>
      </c>
      <c r="W18">
        <v>0</v>
      </c>
    </row>
    <row r="19" spans="1:23">
      <c r="A19">
        <v>222</v>
      </c>
      <c r="B19" t="s">
        <v>151</v>
      </c>
      <c r="C19" t="s">
        <v>143</v>
      </c>
      <c r="D19">
        <v>17</v>
      </c>
      <c r="E19" t="s">
        <v>40</v>
      </c>
      <c r="F19" t="s">
        <v>144</v>
      </c>
      <c r="G19" t="s">
        <v>145</v>
      </c>
      <c r="H19" t="s">
        <v>146</v>
      </c>
      <c r="I19" t="s">
        <v>146</v>
      </c>
      <c r="J19" t="s">
        <v>156</v>
      </c>
      <c r="K19" t="s">
        <v>147</v>
      </c>
      <c r="L19" t="s">
        <v>161</v>
      </c>
      <c r="M19">
        <v>1</v>
      </c>
      <c r="N19" t="s">
        <v>149</v>
      </c>
      <c r="O19" t="s">
        <v>149</v>
      </c>
      <c r="P19" t="s">
        <v>150</v>
      </c>
      <c r="Q19" t="s">
        <v>150</v>
      </c>
      <c r="R19" t="s">
        <v>149</v>
      </c>
      <c r="S19" t="s">
        <v>150</v>
      </c>
      <c r="T19">
        <v>0</v>
      </c>
      <c r="U19">
        <v>6</v>
      </c>
      <c r="V19">
        <v>5</v>
      </c>
      <c r="W19">
        <v>0</v>
      </c>
    </row>
    <row r="20" spans="1:23">
      <c r="A20">
        <v>311</v>
      </c>
      <c r="B20" t="s">
        <v>151</v>
      </c>
      <c r="C20" t="s">
        <v>143</v>
      </c>
      <c r="D20">
        <v>19</v>
      </c>
      <c r="E20" t="s">
        <v>40</v>
      </c>
      <c r="F20" t="s">
        <v>152</v>
      </c>
      <c r="G20" t="s">
        <v>145</v>
      </c>
      <c r="H20" t="s">
        <v>146</v>
      </c>
      <c r="I20" t="s">
        <v>100</v>
      </c>
      <c r="J20" t="s">
        <v>153</v>
      </c>
      <c r="K20" t="s">
        <v>153</v>
      </c>
      <c r="L20" t="s">
        <v>148</v>
      </c>
      <c r="M20">
        <v>1</v>
      </c>
      <c r="N20" t="s">
        <v>149</v>
      </c>
      <c r="O20" t="s">
        <v>149</v>
      </c>
      <c r="P20" t="s">
        <v>150</v>
      </c>
      <c r="Q20" t="s">
        <v>149</v>
      </c>
      <c r="R20" t="s">
        <v>149</v>
      </c>
      <c r="S20" t="s">
        <v>150</v>
      </c>
      <c r="T20">
        <v>0</v>
      </c>
      <c r="U20">
        <v>9</v>
      </c>
      <c r="V20">
        <v>9</v>
      </c>
      <c r="W20">
        <v>0</v>
      </c>
    </row>
    <row r="21" spans="1:23">
      <c r="A21">
        <v>333</v>
      </c>
      <c r="B21" t="s">
        <v>151</v>
      </c>
      <c r="C21" t="s">
        <v>143</v>
      </c>
      <c r="D21">
        <v>18</v>
      </c>
      <c r="E21" t="s">
        <v>40</v>
      </c>
      <c r="F21" t="s">
        <v>144</v>
      </c>
      <c r="G21" t="s">
        <v>145</v>
      </c>
      <c r="H21" t="s">
        <v>158</v>
      </c>
      <c r="I21" t="s">
        <v>158</v>
      </c>
      <c r="J21" t="s">
        <v>153</v>
      </c>
      <c r="K21" t="s">
        <v>153</v>
      </c>
      <c r="L21" t="s">
        <v>148</v>
      </c>
      <c r="M21">
        <v>0</v>
      </c>
      <c r="N21" t="s">
        <v>149</v>
      </c>
      <c r="O21" t="s">
        <v>149</v>
      </c>
      <c r="P21" t="s">
        <v>150</v>
      </c>
      <c r="Q21" t="s">
        <v>150</v>
      </c>
      <c r="R21" t="s">
        <v>150</v>
      </c>
      <c r="S21" t="s">
        <v>149</v>
      </c>
      <c r="T21">
        <v>0</v>
      </c>
      <c r="U21">
        <v>7</v>
      </c>
      <c r="V21">
        <v>0</v>
      </c>
      <c r="W21">
        <v>0</v>
      </c>
    </row>
    <row r="22" spans="1:23">
      <c r="A22">
        <v>270</v>
      </c>
      <c r="B22" t="s">
        <v>151</v>
      </c>
      <c r="C22" t="s">
        <v>143</v>
      </c>
      <c r="D22">
        <v>18</v>
      </c>
      <c r="E22" t="s">
        <v>41</v>
      </c>
      <c r="F22" t="s">
        <v>144</v>
      </c>
      <c r="G22" t="s">
        <v>145</v>
      </c>
      <c r="H22" t="s">
        <v>100</v>
      </c>
      <c r="I22" t="s">
        <v>146</v>
      </c>
      <c r="J22" t="s">
        <v>147</v>
      </c>
      <c r="K22" t="s">
        <v>147</v>
      </c>
      <c r="L22" t="s">
        <v>148</v>
      </c>
      <c r="M22">
        <v>0</v>
      </c>
      <c r="N22" t="s">
        <v>149</v>
      </c>
      <c r="O22" t="s">
        <v>149</v>
      </c>
      <c r="P22" t="s">
        <v>149</v>
      </c>
      <c r="Q22" t="s">
        <v>150</v>
      </c>
      <c r="R22" t="s">
        <v>150</v>
      </c>
      <c r="S22" t="s">
        <v>150</v>
      </c>
      <c r="T22">
        <v>0</v>
      </c>
      <c r="U22">
        <v>6</v>
      </c>
      <c r="V22">
        <v>0</v>
      </c>
      <c r="W22">
        <v>0</v>
      </c>
    </row>
    <row r="23" spans="1:23">
      <c r="A23">
        <v>174</v>
      </c>
      <c r="B23" t="s">
        <v>151</v>
      </c>
      <c r="C23" t="s">
        <v>143</v>
      </c>
      <c r="D23">
        <v>16</v>
      </c>
      <c r="E23" t="s">
        <v>40</v>
      </c>
      <c r="F23" t="s">
        <v>144</v>
      </c>
      <c r="G23" t="s">
        <v>145</v>
      </c>
      <c r="H23" t="s">
        <v>146</v>
      </c>
      <c r="I23" t="s">
        <v>158</v>
      </c>
      <c r="J23" t="s">
        <v>156</v>
      </c>
      <c r="K23" t="s">
        <v>153</v>
      </c>
      <c r="L23" t="s">
        <v>148</v>
      </c>
      <c r="M23">
        <v>3</v>
      </c>
      <c r="N23" t="s">
        <v>149</v>
      </c>
      <c r="O23" t="s">
        <v>149</v>
      </c>
      <c r="P23" t="s">
        <v>150</v>
      </c>
      <c r="Q23" t="s">
        <v>149</v>
      </c>
      <c r="R23" t="s">
        <v>150</v>
      </c>
      <c r="S23" t="s">
        <v>150</v>
      </c>
      <c r="T23">
        <v>0</v>
      </c>
      <c r="U23">
        <v>8</v>
      </c>
      <c r="V23">
        <v>7</v>
      </c>
      <c r="W23">
        <v>0</v>
      </c>
    </row>
    <row r="24" spans="1:23">
      <c r="A24">
        <v>169</v>
      </c>
      <c r="B24" t="s">
        <v>151</v>
      </c>
      <c r="C24" t="s">
        <v>143</v>
      </c>
      <c r="D24">
        <v>16</v>
      </c>
      <c r="E24" t="s">
        <v>40</v>
      </c>
      <c r="F24" t="s">
        <v>144</v>
      </c>
      <c r="G24" t="s">
        <v>145</v>
      </c>
      <c r="H24" t="s">
        <v>100</v>
      </c>
      <c r="I24" t="s">
        <v>100</v>
      </c>
      <c r="J24" t="s">
        <v>147</v>
      </c>
      <c r="K24" t="s">
        <v>147</v>
      </c>
      <c r="L24" t="s">
        <v>148</v>
      </c>
      <c r="M24">
        <v>0</v>
      </c>
      <c r="N24" t="s">
        <v>149</v>
      </c>
      <c r="O24" t="s">
        <v>150</v>
      </c>
      <c r="P24" t="s">
        <v>149</v>
      </c>
      <c r="Q24" t="s">
        <v>149</v>
      </c>
      <c r="R24" t="s">
        <v>150</v>
      </c>
      <c r="S24" t="s">
        <v>149</v>
      </c>
      <c r="T24">
        <v>0</v>
      </c>
      <c r="U24">
        <v>6</v>
      </c>
      <c r="V24">
        <v>7</v>
      </c>
      <c r="W24">
        <v>0</v>
      </c>
    </row>
    <row r="25" spans="1:23">
      <c r="A25">
        <v>141</v>
      </c>
      <c r="B25" t="s">
        <v>151</v>
      </c>
      <c r="C25" t="s">
        <v>162</v>
      </c>
      <c r="D25">
        <v>15</v>
      </c>
      <c r="E25" t="s">
        <v>40</v>
      </c>
      <c r="F25" t="s">
        <v>144</v>
      </c>
      <c r="G25" t="s">
        <v>145</v>
      </c>
      <c r="H25" t="s">
        <v>101</v>
      </c>
      <c r="I25" t="s">
        <v>158</v>
      </c>
      <c r="J25" t="s">
        <v>160</v>
      </c>
      <c r="K25" t="s">
        <v>153</v>
      </c>
      <c r="L25" t="s">
        <v>154</v>
      </c>
      <c r="M25">
        <v>0</v>
      </c>
      <c r="N25" t="s">
        <v>150</v>
      </c>
      <c r="O25" t="s">
        <v>149</v>
      </c>
      <c r="P25" t="s">
        <v>149</v>
      </c>
      <c r="Q25" t="s">
        <v>150</v>
      </c>
      <c r="R25" t="s">
        <v>150</v>
      </c>
      <c r="S25" t="s">
        <v>149</v>
      </c>
      <c r="T25">
        <v>0</v>
      </c>
      <c r="U25">
        <v>7</v>
      </c>
      <c r="V25">
        <v>9</v>
      </c>
      <c r="W25">
        <v>0</v>
      </c>
    </row>
    <row r="26" spans="1:23">
      <c r="A26">
        <v>161</v>
      </c>
      <c r="B26" t="s">
        <v>151</v>
      </c>
      <c r="C26" t="s">
        <v>162</v>
      </c>
      <c r="D26">
        <v>17</v>
      </c>
      <c r="E26" t="s">
        <v>41</v>
      </c>
      <c r="F26" t="s">
        <v>152</v>
      </c>
      <c r="G26" t="s">
        <v>145</v>
      </c>
      <c r="H26" t="s">
        <v>100</v>
      </c>
      <c r="I26" t="s">
        <v>146</v>
      </c>
      <c r="J26" t="s">
        <v>156</v>
      </c>
      <c r="K26" t="s">
        <v>147</v>
      </c>
      <c r="L26" t="s">
        <v>157</v>
      </c>
      <c r="M26">
        <v>2</v>
      </c>
      <c r="N26" t="s">
        <v>149</v>
      </c>
      <c r="O26" t="s">
        <v>149</v>
      </c>
      <c r="P26" t="s">
        <v>150</v>
      </c>
      <c r="Q26" t="s">
        <v>150</v>
      </c>
      <c r="R26" t="s">
        <v>150</v>
      </c>
      <c r="S26" t="s">
        <v>150</v>
      </c>
      <c r="T26">
        <v>0</v>
      </c>
      <c r="U26">
        <v>7</v>
      </c>
      <c r="V26">
        <v>6</v>
      </c>
      <c r="W26">
        <v>0</v>
      </c>
    </row>
    <row r="27" spans="1:23">
      <c r="A27">
        <v>149</v>
      </c>
      <c r="B27" t="s">
        <v>151</v>
      </c>
      <c r="C27" t="s">
        <v>162</v>
      </c>
      <c r="D27">
        <v>16</v>
      </c>
      <c r="E27" t="s">
        <v>40</v>
      </c>
      <c r="F27" t="s">
        <v>144</v>
      </c>
      <c r="G27" t="s">
        <v>145</v>
      </c>
      <c r="H27" t="s">
        <v>101</v>
      </c>
      <c r="I27" t="s">
        <v>101</v>
      </c>
      <c r="J27" t="s">
        <v>160</v>
      </c>
      <c r="K27" t="s">
        <v>160</v>
      </c>
      <c r="L27" t="s">
        <v>157</v>
      </c>
      <c r="M27">
        <v>0</v>
      </c>
      <c r="N27" t="s">
        <v>149</v>
      </c>
      <c r="O27" t="s">
        <v>149</v>
      </c>
      <c r="P27" t="s">
        <v>149</v>
      </c>
      <c r="Q27" t="s">
        <v>150</v>
      </c>
      <c r="R27" t="s">
        <v>150</v>
      </c>
      <c r="S27" t="s">
        <v>150</v>
      </c>
      <c r="T27">
        <v>0</v>
      </c>
      <c r="U27">
        <v>7</v>
      </c>
      <c r="V27">
        <v>6</v>
      </c>
      <c r="W27">
        <v>0</v>
      </c>
    </row>
    <row r="28" spans="1:23">
      <c r="A28">
        <v>384</v>
      </c>
      <c r="B28" t="s">
        <v>142</v>
      </c>
      <c r="C28" t="s">
        <v>162</v>
      </c>
      <c r="D28">
        <v>19</v>
      </c>
      <c r="E28" t="s">
        <v>41</v>
      </c>
      <c r="F28" t="s">
        <v>144</v>
      </c>
      <c r="G28" t="s">
        <v>145</v>
      </c>
      <c r="H28" t="s">
        <v>146</v>
      </c>
      <c r="I28" t="s">
        <v>146</v>
      </c>
      <c r="J28" t="s">
        <v>147</v>
      </c>
      <c r="K28" t="s">
        <v>153</v>
      </c>
      <c r="L28" t="s">
        <v>157</v>
      </c>
      <c r="M28">
        <v>1</v>
      </c>
      <c r="N28" t="s">
        <v>149</v>
      </c>
      <c r="O28" t="s">
        <v>149</v>
      </c>
      <c r="P28" t="s">
        <v>149</v>
      </c>
      <c r="Q28" t="s">
        <v>150</v>
      </c>
      <c r="R28" t="s">
        <v>149</v>
      </c>
      <c r="S28" t="s">
        <v>149</v>
      </c>
      <c r="T28">
        <v>0</v>
      </c>
      <c r="U28">
        <v>6</v>
      </c>
      <c r="V28">
        <v>5</v>
      </c>
      <c r="W28">
        <v>0</v>
      </c>
    </row>
    <row r="29" spans="1:23">
      <c r="A29">
        <v>129</v>
      </c>
      <c r="B29" t="s">
        <v>151</v>
      </c>
      <c r="C29" t="s">
        <v>162</v>
      </c>
      <c r="D29">
        <v>18</v>
      </c>
      <c r="E29" t="s">
        <v>41</v>
      </c>
      <c r="F29" t="s">
        <v>144</v>
      </c>
      <c r="G29" t="s">
        <v>145</v>
      </c>
      <c r="H29" t="s">
        <v>100</v>
      </c>
      <c r="I29" t="s">
        <v>100</v>
      </c>
      <c r="J29" t="s">
        <v>153</v>
      </c>
      <c r="K29" t="s">
        <v>147</v>
      </c>
      <c r="L29" t="s">
        <v>157</v>
      </c>
      <c r="M29">
        <v>2</v>
      </c>
      <c r="N29" t="s">
        <v>149</v>
      </c>
      <c r="O29" t="s">
        <v>149</v>
      </c>
      <c r="P29" t="s">
        <v>150</v>
      </c>
      <c r="Q29" t="s">
        <v>150</v>
      </c>
      <c r="R29" t="s">
        <v>150</v>
      </c>
      <c r="S29" t="s">
        <v>149</v>
      </c>
      <c r="T29">
        <v>0</v>
      </c>
      <c r="U29">
        <v>7</v>
      </c>
      <c r="V29">
        <v>4</v>
      </c>
      <c r="W29">
        <v>0</v>
      </c>
    </row>
    <row r="30" spans="1:23">
      <c r="A30">
        <v>342</v>
      </c>
      <c r="B30" t="s">
        <v>151</v>
      </c>
      <c r="C30" t="s">
        <v>162</v>
      </c>
      <c r="D30">
        <v>18</v>
      </c>
      <c r="E30" t="s">
        <v>40</v>
      </c>
      <c r="F30" t="s">
        <v>144</v>
      </c>
      <c r="G30" t="s">
        <v>145</v>
      </c>
      <c r="H30" t="s">
        <v>101</v>
      </c>
      <c r="I30" t="s">
        <v>101</v>
      </c>
      <c r="J30" t="s">
        <v>160</v>
      </c>
      <c r="K30" t="s">
        <v>153</v>
      </c>
      <c r="L30" t="s">
        <v>148</v>
      </c>
      <c r="M30">
        <v>1</v>
      </c>
      <c r="N30" t="s">
        <v>149</v>
      </c>
      <c r="O30" t="s">
        <v>149</v>
      </c>
      <c r="P30" t="s">
        <v>150</v>
      </c>
      <c r="Q30" t="s">
        <v>150</v>
      </c>
      <c r="R30" t="s">
        <v>150</v>
      </c>
      <c r="S30" t="s">
        <v>149</v>
      </c>
      <c r="T30">
        <v>0</v>
      </c>
      <c r="U30">
        <v>10</v>
      </c>
      <c r="V30">
        <v>10</v>
      </c>
      <c r="W30">
        <v>0</v>
      </c>
    </row>
    <row r="31" spans="1:23">
      <c r="A31">
        <v>135</v>
      </c>
      <c r="B31" t="s">
        <v>151</v>
      </c>
      <c r="C31" t="s">
        <v>162</v>
      </c>
      <c r="D31">
        <v>15</v>
      </c>
      <c r="E31" t="s">
        <v>41</v>
      </c>
      <c r="F31" t="s">
        <v>144</v>
      </c>
      <c r="G31" t="s">
        <v>145</v>
      </c>
      <c r="H31" t="s">
        <v>158</v>
      </c>
      <c r="I31" t="s">
        <v>101</v>
      </c>
      <c r="J31" t="s">
        <v>156</v>
      </c>
      <c r="K31" t="s">
        <v>160</v>
      </c>
      <c r="L31" t="s">
        <v>148</v>
      </c>
      <c r="M31">
        <v>0</v>
      </c>
      <c r="N31" t="s">
        <v>149</v>
      </c>
      <c r="O31" t="s">
        <v>149</v>
      </c>
      <c r="P31" t="s">
        <v>149</v>
      </c>
      <c r="Q31" t="s">
        <v>150</v>
      </c>
      <c r="R31" t="s">
        <v>149</v>
      </c>
      <c r="S31" t="s">
        <v>150</v>
      </c>
      <c r="T31">
        <v>0</v>
      </c>
      <c r="U31">
        <v>9</v>
      </c>
      <c r="V31">
        <v>0</v>
      </c>
      <c r="W31">
        <v>0</v>
      </c>
    </row>
    <row r="32" spans="1:23">
      <c r="A32">
        <v>163</v>
      </c>
      <c r="B32" t="s">
        <v>151</v>
      </c>
      <c r="C32" t="s">
        <v>162</v>
      </c>
      <c r="D32">
        <v>16</v>
      </c>
      <c r="E32" t="s">
        <v>40</v>
      </c>
      <c r="F32" t="s">
        <v>152</v>
      </c>
      <c r="G32" t="s">
        <v>145</v>
      </c>
      <c r="H32" t="s">
        <v>146</v>
      </c>
      <c r="I32" t="s">
        <v>100</v>
      </c>
      <c r="J32" t="s">
        <v>147</v>
      </c>
      <c r="K32" t="s">
        <v>147</v>
      </c>
      <c r="L32" t="s">
        <v>157</v>
      </c>
      <c r="M32">
        <v>1</v>
      </c>
      <c r="N32" t="s">
        <v>149</v>
      </c>
      <c r="O32" t="s">
        <v>149</v>
      </c>
      <c r="P32" t="s">
        <v>150</v>
      </c>
      <c r="Q32" t="s">
        <v>150</v>
      </c>
      <c r="R32" t="s">
        <v>149</v>
      </c>
      <c r="S32" t="s">
        <v>149</v>
      </c>
      <c r="T32">
        <v>0</v>
      </c>
      <c r="U32">
        <v>7</v>
      </c>
      <c r="V32">
        <v>0</v>
      </c>
      <c r="W32">
        <v>0</v>
      </c>
    </row>
    <row r="33" spans="1:23">
      <c r="A33">
        <v>154</v>
      </c>
      <c r="B33" t="s">
        <v>151</v>
      </c>
      <c r="C33" t="s">
        <v>162</v>
      </c>
      <c r="D33">
        <v>19</v>
      </c>
      <c r="E33" t="s">
        <v>40</v>
      </c>
      <c r="F33" t="s">
        <v>144</v>
      </c>
      <c r="G33" t="s">
        <v>145</v>
      </c>
      <c r="H33" t="s">
        <v>158</v>
      </c>
      <c r="I33" t="s">
        <v>100</v>
      </c>
      <c r="J33" t="s">
        <v>153</v>
      </c>
      <c r="K33" t="s">
        <v>156</v>
      </c>
      <c r="L33" t="s">
        <v>157</v>
      </c>
      <c r="M33">
        <v>3</v>
      </c>
      <c r="N33" t="s">
        <v>149</v>
      </c>
      <c r="O33" t="s">
        <v>149</v>
      </c>
      <c r="P33" t="s">
        <v>149</v>
      </c>
      <c r="Q33" t="s">
        <v>150</v>
      </c>
      <c r="R33" t="s">
        <v>150</v>
      </c>
      <c r="S33" t="s">
        <v>150</v>
      </c>
      <c r="T33">
        <v>0</v>
      </c>
      <c r="U33">
        <v>5</v>
      </c>
      <c r="V33">
        <v>0</v>
      </c>
      <c r="W33">
        <v>0</v>
      </c>
    </row>
    <row r="34" spans="1:23">
      <c r="A34">
        <v>240</v>
      </c>
      <c r="B34" t="s">
        <v>151</v>
      </c>
      <c r="C34" t="s">
        <v>162</v>
      </c>
      <c r="D34">
        <v>18</v>
      </c>
      <c r="E34" t="s">
        <v>40</v>
      </c>
      <c r="F34" t="s">
        <v>144</v>
      </c>
      <c r="G34" t="s">
        <v>145</v>
      </c>
      <c r="H34" t="s">
        <v>100</v>
      </c>
      <c r="I34" t="s">
        <v>100</v>
      </c>
      <c r="J34" t="s">
        <v>147</v>
      </c>
      <c r="K34" t="s">
        <v>153</v>
      </c>
      <c r="L34" t="s">
        <v>148</v>
      </c>
      <c r="M34">
        <v>1</v>
      </c>
      <c r="N34" t="s">
        <v>149</v>
      </c>
      <c r="O34" t="s">
        <v>149</v>
      </c>
      <c r="P34" t="s">
        <v>149</v>
      </c>
      <c r="Q34" t="s">
        <v>150</v>
      </c>
      <c r="R34" t="s">
        <v>150</v>
      </c>
      <c r="S34" t="s">
        <v>149</v>
      </c>
      <c r="T34">
        <v>0</v>
      </c>
      <c r="U34">
        <v>7</v>
      </c>
      <c r="V34">
        <v>7</v>
      </c>
      <c r="W34">
        <v>0</v>
      </c>
    </row>
    <row r="35" spans="1:23">
      <c r="A35">
        <v>151</v>
      </c>
      <c r="B35" t="s">
        <v>151</v>
      </c>
      <c r="C35" t="s">
        <v>162</v>
      </c>
      <c r="D35">
        <v>18</v>
      </c>
      <c r="E35" t="s">
        <v>40</v>
      </c>
      <c r="F35" t="s">
        <v>152</v>
      </c>
      <c r="G35" t="s">
        <v>145</v>
      </c>
      <c r="H35" t="s">
        <v>146</v>
      </c>
      <c r="I35" t="s">
        <v>146</v>
      </c>
      <c r="J35" t="s">
        <v>147</v>
      </c>
      <c r="K35" t="s">
        <v>147</v>
      </c>
      <c r="L35" t="s">
        <v>157</v>
      </c>
      <c r="M35">
        <v>3</v>
      </c>
      <c r="N35" t="s">
        <v>149</v>
      </c>
      <c r="O35" t="s">
        <v>149</v>
      </c>
      <c r="P35" t="s">
        <v>149</v>
      </c>
      <c r="Q35" t="s">
        <v>150</v>
      </c>
      <c r="R35" t="s">
        <v>150</v>
      </c>
      <c r="S35" t="s">
        <v>150</v>
      </c>
      <c r="T35">
        <v>0</v>
      </c>
      <c r="U35">
        <v>6</v>
      </c>
      <c r="V35">
        <v>5</v>
      </c>
      <c r="W35">
        <v>0</v>
      </c>
    </row>
    <row r="36" spans="1:23">
      <c r="A36">
        <v>171</v>
      </c>
      <c r="B36" t="s">
        <v>151</v>
      </c>
      <c r="C36" t="s">
        <v>162</v>
      </c>
      <c r="D36">
        <v>16</v>
      </c>
      <c r="E36" t="s">
        <v>40</v>
      </c>
      <c r="F36" t="s">
        <v>144</v>
      </c>
      <c r="G36" t="s">
        <v>145</v>
      </c>
      <c r="H36" t="s">
        <v>158</v>
      </c>
      <c r="I36" t="s">
        <v>101</v>
      </c>
      <c r="J36" t="s">
        <v>147</v>
      </c>
      <c r="K36" t="s">
        <v>147</v>
      </c>
      <c r="L36" t="s">
        <v>157</v>
      </c>
      <c r="M36">
        <v>2</v>
      </c>
      <c r="N36" t="s">
        <v>149</v>
      </c>
      <c r="O36" t="s">
        <v>149</v>
      </c>
      <c r="P36" t="s">
        <v>150</v>
      </c>
      <c r="Q36" t="s">
        <v>149</v>
      </c>
      <c r="R36" t="s">
        <v>150</v>
      </c>
      <c r="S36" t="s">
        <v>149</v>
      </c>
      <c r="T36">
        <v>0</v>
      </c>
      <c r="U36">
        <v>6</v>
      </c>
      <c r="V36">
        <v>5</v>
      </c>
      <c r="W36">
        <v>0</v>
      </c>
    </row>
    <row r="37" spans="1:23">
      <c r="A37">
        <v>145</v>
      </c>
      <c r="B37" t="s">
        <v>151</v>
      </c>
      <c r="C37" t="s">
        <v>162</v>
      </c>
      <c r="D37">
        <v>17</v>
      </c>
      <c r="E37" t="s">
        <v>40</v>
      </c>
      <c r="F37" t="s">
        <v>144</v>
      </c>
      <c r="G37" t="s">
        <v>145</v>
      </c>
      <c r="H37" t="s">
        <v>100</v>
      </c>
      <c r="I37" t="s">
        <v>146</v>
      </c>
      <c r="J37" t="s">
        <v>147</v>
      </c>
      <c r="K37" t="s">
        <v>147</v>
      </c>
      <c r="L37" t="s">
        <v>157</v>
      </c>
      <c r="M37">
        <v>3</v>
      </c>
      <c r="N37" t="s">
        <v>149</v>
      </c>
      <c r="O37" t="s">
        <v>149</v>
      </c>
      <c r="P37" t="s">
        <v>149</v>
      </c>
      <c r="Q37" t="s">
        <v>150</v>
      </c>
      <c r="R37" t="s">
        <v>150</v>
      </c>
      <c r="S37" t="s">
        <v>149</v>
      </c>
      <c r="T37">
        <v>0</v>
      </c>
      <c r="U37">
        <v>5</v>
      </c>
      <c r="V37">
        <v>0</v>
      </c>
      <c r="W37">
        <v>0</v>
      </c>
    </row>
    <row r="38" spans="1:23">
      <c r="A38">
        <v>243</v>
      </c>
      <c r="B38" t="s">
        <v>151</v>
      </c>
      <c r="C38" t="s">
        <v>162</v>
      </c>
      <c r="D38">
        <v>16</v>
      </c>
      <c r="E38" t="s">
        <v>40</v>
      </c>
      <c r="F38" t="s">
        <v>152</v>
      </c>
      <c r="G38" t="s">
        <v>145</v>
      </c>
      <c r="H38" t="s">
        <v>101</v>
      </c>
      <c r="I38" t="s">
        <v>158</v>
      </c>
      <c r="J38" t="s">
        <v>160</v>
      </c>
      <c r="K38" t="s">
        <v>147</v>
      </c>
      <c r="L38" t="s">
        <v>157</v>
      </c>
      <c r="M38">
        <v>0</v>
      </c>
      <c r="N38" t="s">
        <v>149</v>
      </c>
      <c r="O38" t="s">
        <v>149</v>
      </c>
      <c r="P38" t="s">
        <v>150</v>
      </c>
      <c r="Q38" t="s">
        <v>149</v>
      </c>
      <c r="R38" t="s">
        <v>150</v>
      </c>
      <c r="S38" t="s">
        <v>149</v>
      </c>
      <c r="T38">
        <v>0</v>
      </c>
      <c r="U38">
        <v>6</v>
      </c>
      <c r="V38">
        <v>0</v>
      </c>
      <c r="W38">
        <v>0</v>
      </c>
    </row>
    <row r="39" spans="1:23">
      <c r="A39">
        <v>137</v>
      </c>
      <c r="B39" t="s">
        <v>151</v>
      </c>
      <c r="C39" t="s">
        <v>162</v>
      </c>
      <c r="D39">
        <v>17</v>
      </c>
      <c r="E39" t="s">
        <v>41</v>
      </c>
      <c r="F39" t="s">
        <v>144</v>
      </c>
      <c r="G39" t="s">
        <v>145</v>
      </c>
      <c r="H39" t="s">
        <v>158</v>
      </c>
      <c r="I39" t="s">
        <v>101</v>
      </c>
      <c r="J39" t="s">
        <v>156</v>
      </c>
      <c r="K39" t="s">
        <v>147</v>
      </c>
      <c r="L39" t="s">
        <v>148</v>
      </c>
      <c r="M39">
        <v>0</v>
      </c>
      <c r="N39" t="s">
        <v>149</v>
      </c>
      <c r="O39" t="s">
        <v>149</v>
      </c>
      <c r="P39" t="s">
        <v>149</v>
      </c>
      <c r="Q39" t="s">
        <v>150</v>
      </c>
      <c r="R39" t="s">
        <v>149</v>
      </c>
      <c r="S39" t="s">
        <v>149</v>
      </c>
      <c r="T39">
        <v>0</v>
      </c>
      <c r="U39">
        <v>10</v>
      </c>
      <c r="V39">
        <v>0</v>
      </c>
      <c r="W39">
        <v>0</v>
      </c>
    </row>
    <row r="40" spans="1:23">
      <c r="A40">
        <v>217</v>
      </c>
      <c r="B40" t="s">
        <v>151</v>
      </c>
      <c r="C40" t="s">
        <v>143</v>
      </c>
      <c r="D40">
        <v>17</v>
      </c>
      <c r="E40" t="s">
        <v>40</v>
      </c>
      <c r="F40" t="s">
        <v>144</v>
      </c>
      <c r="G40" t="s">
        <v>145</v>
      </c>
      <c r="H40" t="s">
        <v>101</v>
      </c>
      <c r="I40" t="s">
        <v>158</v>
      </c>
      <c r="J40" t="s">
        <v>147</v>
      </c>
      <c r="K40" t="s">
        <v>147</v>
      </c>
      <c r="L40" t="s">
        <v>148</v>
      </c>
      <c r="M40">
        <v>2</v>
      </c>
      <c r="N40" t="s">
        <v>149</v>
      </c>
      <c r="O40" t="s">
        <v>150</v>
      </c>
      <c r="P40" t="s">
        <v>149</v>
      </c>
      <c r="Q40" t="s">
        <v>150</v>
      </c>
      <c r="R40" t="s">
        <v>150</v>
      </c>
      <c r="S40" t="s">
        <v>150</v>
      </c>
      <c r="T40">
        <v>22</v>
      </c>
      <c r="U40">
        <v>6</v>
      </c>
      <c r="V40">
        <v>6</v>
      </c>
      <c r="W40">
        <v>4</v>
      </c>
    </row>
    <row r="41" spans="1:23">
      <c r="A41">
        <v>80</v>
      </c>
      <c r="B41" t="s">
        <v>151</v>
      </c>
      <c r="C41" t="s">
        <v>143</v>
      </c>
      <c r="D41">
        <v>16</v>
      </c>
      <c r="E41" t="s">
        <v>40</v>
      </c>
      <c r="F41" t="s">
        <v>144</v>
      </c>
      <c r="G41" t="s">
        <v>145</v>
      </c>
      <c r="H41" t="s">
        <v>158</v>
      </c>
      <c r="I41" t="s">
        <v>101</v>
      </c>
      <c r="J41" t="s">
        <v>156</v>
      </c>
      <c r="K41" t="s">
        <v>147</v>
      </c>
      <c r="L41" t="s">
        <v>148</v>
      </c>
      <c r="M41">
        <v>0</v>
      </c>
      <c r="N41" t="s">
        <v>149</v>
      </c>
      <c r="O41" t="s">
        <v>149</v>
      </c>
      <c r="P41" t="s">
        <v>149</v>
      </c>
      <c r="Q41" t="s">
        <v>150</v>
      </c>
      <c r="R41" t="s">
        <v>150</v>
      </c>
      <c r="S41" t="s">
        <v>149</v>
      </c>
      <c r="T41">
        <v>12</v>
      </c>
      <c r="U41">
        <v>5</v>
      </c>
      <c r="V41">
        <v>5</v>
      </c>
      <c r="W41">
        <v>5</v>
      </c>
    </row>
    <row r="42" spans="1:23">
      <c r="A42">
        <v>73</v>
      </c>
      <c r="B42" t="s">
        <v>151</v>
      </c>
      <c r="C42" t="s">
        <v>143</v>
      </c>
      <c r="D42">
        <v>15</v>
      </c>
      <c r="E42" t="s">
        <v>41</v>
      </c>
      <c r="F42" t="s">
        <v>144</v>
      </c>
      <c r="G42" t="s">
        <v>145</v>
      </c>
      <c r="H42" t="s">
        <v>146</v>
      </c>
      <c r="I42" t="s">
        <v>146</v>
      </c>
      <c r="J42" t="s">
        <v>147</v>
      </c>
      <c r="K42" t="s">
        <v>147</v>
      </c>
      <c r="L42" t="s">
        <v>148</v>
      </c>
      <c r="M42">
        <v>2</v>
      </c>
      <c r="N42" t="s">
        <v>150</v>
      </c>
      <c r="O42" t="s">
        <v>149</v>
      </c>
      <c r="P42" t="s">
        <v>149</v>
      </c>
      <c r="Q42" t="s">
        <v>149</v>
      </c>
      <c r="R42" t="s">
        <v>150</v>
      </c>
      <c r="S42" t="s">
        <v>150</v>
      </c>
      <c r="T42">
        <v>2</v>
      </c>
      <c r="U42">
        <v>8</v>
      </c>
      <c r="V42">
        <v>6</v>
      </c>
      <c r="W42">
        <v>5</v>
      </c>
    </row>
    <row r="43" spans="1:23">
      <c r="A43">
        <v>374</v>
      </c>
      <c r="B43" t="s">
        <v>142</v>
      </c>
      <c r="C43" t="s">
        <v>143</v>
      </c>
      <c r="D43">
        <v>17</v>
      </c>
      <c r="E43" t="s">
        <v>41</v>
      </c>
      <c r="F43" t="s">
        <v>144</v>
      </c>
      <c r="G43" t="s">
        <v>145</v>
      </c>
      <c r="H43" t="s">
        <v>146</v>
      </c>
      <c r="I43" t="s">
        <v>100</v>
      </c>
      <c r="J43" t="s">
        <v>147</v>
      </c>
      <c r="K43" t="s">
        <v>147</v>
      </c>
      <c r="L43" t="s">
        <v>157</v>
      </c>
      <c r="M43">
        <v>0</v>
      </c>
      <c r="N43" t="s">
        <v>149</v>
      </c>
      <c r="O43" t="s">
        <v>149</v>
      </c>
      <c r="P43" t="s">
        <v>150</v>
      </c>
      <c r="Q43" t="s">
        <v>150</v>
      </c>
      <c r="R43" t="s">
        <v>150</v>
      </c>
      <c r="S43" t="s">
        <v>149</v>
      </c>
      <c r="T43">
        <v>14</v>
      </c>
      <c r="U43">
        <v>6</v>
      </c>
      <c r="V43">
        <v>5</v>
      </c>
      <c r="W43">
        <v>5</v>
      </c>
    </row>
    <row r="44" spans="1:23">
      <c r="A44">
        <v>249</v>
      </c>
      <c r="B44" t="s">
        <v>151</v>
      </c>
      <c r="C44" t="s">
        <v>162</v>
      </c>
      <c r="D44">
        <v>18</v>
      </c>
      <c r="E44" t="s">
        <v>41</v>
      </c>
      <c r="F44" t="s">
        <v>152</v>
      </c>
      <c r="G44" t="s">
        <v>145</v>
      </c>
      <c r="H44" t="s">
        <v>158</v>
      </c>
      <c r="I44" t="s">
        <v>158</v>
      </c>
      <c r="J44" t="s">
        <v>147</v>
      </c>
      <c r="K44" t="s">
        <v>153</v>
      </c>
      <c r="L44" t="s">
        <v>148</v>
      </c>
      <c r="M44">
        <v>1</v>
      </c>
      <c r="N44" t="s">
        <v>149</v>
      </c>
      <c r="O44" t="s">
        <v>149</v>
      </c>
      <c r="P44" t="s">
        <v>149</v>
      </c>
      <c r="Q44" t="s">
        <v>150</v>
      </c>
      <c r="R44" t="s">
        <v>150</v>
      </c>
      <c r="S44" t="s">
        <v>150</v>
      </c>
      <c r="T44">
        <v>8</v>
      </c>
      <c r="U44">
        <v>3</v>
      </c>
      <c r="V44">
        <v>5</v>
      </c>
      <c r="W44">
        <v>5</v>
      </c>
    </row>
    <row r="45" spans="1:23">
      <c r="A45">
        <v>385</v>
      </c>
      <c r="B45" t="s">
        <v>142</v>
      </c>
      <c r="C45" t="s">
        <v>162</v>
      </c>
      <c r="D45">
        <v>18</v>
      </c>
      <c r="E45" t="s">
        <v>41</v>
      </c>
      <c r="F45" t="s">
        <v>144</v>
      </c>
      <c r="G45" t="s">
        <v>145</v>
      </c>
      <c r="H45" t="s">
        <v>101</v>
      </c>
      <c r="I45" t="s">
        <v>100</v>
      </c>
      <c r="J45" t="s">
        <v>147</v>
      </c>
      <c r="K45" t="s">
        <v>147</v>
      </c>
      <c r="L45" t="s">
        <v>157</v>
      </c>
      <c r="M45">
        <v>1</v>
      </c>
      <c r="N45" t="s">
        <v>149</v>
      </c>
      <c r="O45" t="s">
        <v>150</v>
      </c>
      <c r="P45" t="s">
        <v>149</v>
      </c>
      <c r="Q45" t="s">
        <v>150</v>
      </c>
      <c r="R45" t="s">
        <v>149</v>
      </c>
      <c r="S45" t="s">
        <v>149</v>
      </c>
      <c r="T45">
        <v>14</v>
      </c>
      <c r="U45">
        <v>6</v>
      </c>
      <c r="V45">
        <v>5</v>
      </c>
      <c r="W45">
        <v>5</v>
      </c>
    </row>
    <row r="46" spans="1:23">
      <c r="A46">
        <v>101</v>
      </c>
      <c r="B46" t="s">
        <v>151</v>
      </c>
      <c r="C46" t="s">
        <v>162</v>
      </c>
      <c r="D46">
        <v>16</v>
      </c>
      <c r="E46" t="s">
        <v>40</v>
      </c>
      <c r="F46" t="s">
        <v>144</v>
      </c>
      <c r="G46" t="s">
        <v>145</v>
      </c>
      <c r="H46" t="s">
        <v>101</v>
      </c>
      <c r="I46" t="s">
        <v>101</v>
      </c>
      <c r="J46" t="s">
        <v>153</v>
      </c>
      <c r="K46" t="s">
        <v>153</v>
      </c>
      <c r="L46" t="s">
        <v>157</v>
      </c>
      <c r="M46">
        <v>0</v>
      </c>
      <c r="N46" t="s">
        <v>150</v>
      </c>
      <c r="O46" t="s">
        <v>150</v>
      </c>
      <c r="P46" t="s">
        <v>150</v>
      </c>
      <c r="Q46" t="s">
        <v>150</v>
      </c>
      <c r="R46" t="s">
        <v>150</v>
      </c>
      <c r="S46" t="s">
        <v>149</v>
      </c>
      <c r="T46">
        <v>14</v>
      </c>
      <c r="U46">
        <v>7</v>
      </c>
      <c r="V46">
        <v>7</v>
      </c>
      <c r="W46">
        <v>5</v>
      </c>
    </row>
    <row r="47" spans="1:23">
      <c r="A47">
        <v>19</v>
      </c>
      <c r="B47" t="s">
        <v>151</v>
      </c>
      <c r="C47" t="s">
        <v>162</v>
      </c>
      <c r="D47">
        <v>17</v>
      </c>
      <c r="E47" t="s">
        <v>40</v>
      </c>
      <c r="F47" t="s">
        <v>144</v>
      </c>
      <c r="G47" t="s">
        <v>145</v>
      </c>
      <c r="H47" t="s">
        <v>158</v>
      </c>
      <c r="I47" t="s">
        <v>100</v>
      </c>
      <c r="J47" t="s">
        <v>153</v>
      </c>
      <c r="K47" t="s">
        <v>153</v>
      </c>
      <c r="L47" t="s">
        <v>157</v>
      </c>
      <c r="M47">
        <v>3</v>
      </c>
      <c r="N47" t="s">
        <v>149</v>
      </c>
      <c r="O47" t="s">
        <v>149</v>
      </c>
      <c r="P47" t="s">
        <v>150</v>
      </c>
      <c r="Q47" t="s">
        <v>150</v>
      </c>
      <c r="R47" t="s">
        <v>150</v>
      </c>
      <c r="S47" t="s">
        <v>149</v>
      </c>
      <c r="T47">
        <v>16</v>
      </c>
      <c r="U47">
        <v>6</v>
      </c>
      <c r="V47">
        <v>5</v>
      </c>
      <c r="W47">
        <v>5</v>
      </c>
    </row>
    <row r="48" spans="1:23">
      <c r="A48">
        <v>36</v>
      </c>
      <c r="B48" t="s">
        <v>151</v>
      </c>
      <c r="C48" t="s">
        <v>143</v>
      </c>
      <c r="D48">
        <v>15</v>
      </c>
      <c r="E48" t="s">
        <v>40</v>
      </c>
      <c r="F48" t="s">
        <v>144</v>
      </c>
      <c r="G48" t="s">
        <v>145</v>
      </c>
      <c r="H48" t="s">
        <v>100</v>
      </c>
      <c r="I48" t="s">
        <v>158</v>
      </c>
      <c r="J48" t="s">
        <v>147</v>
      </c>
      <c r="K48" t="s">
        <v>147</v>
      </c>
      <c r="L48" t="s">
        <v>157</v>
      </c>
      <c r="M48">
        <v>0</v>
      </c>
      <c r="N48" t="s">
        <v>149</v>
      </c>
      <c r="O48" t="s">
        <v>149</v>
      </c>
      <c r="P48" t="s">
        <v>150</v>
      </c>
      <c r="Q48" t="s">
        <v>150</v>
      </c>
      <c r="R48" t="s">
        <v>149</v>
      </c>
      <c r="S48" t="s">
        <v>149</v>
      </c>
      <c r="T48">
        <v>0</v>
      </c>
      <c r="U48">
        <v>8</v>
      </c>
      <c r="V48">
        <v>7</v>
      </c>
      <c r="W48">
        <v>6</v>
      </c>
    </row>
    <row r="49" spans="1:23">
      <c r="A49">
        <v>204</v>
      </c>
      <c r="B49" t="s">
        <v>151</v>
      </c>
      <c r="C49" t="s">
        <v>143</v>
      </c>
      <c r="D49">
        <v>17</v>
      </c>
      <c r="E49" t="s">
        <v>41</v>
      </c>
      <c r="F49" t="s">
        <v>144</v>
      </c>
      <c r="G49" t="s">
        <v>145</v>
      </c>
      <c r="H49" t="s">
        <v>100</v>
      </c>
      <c r="I49" t="s">
        <v>100</v>
      </c>
      <c r="J49" t="s">
        <v>147</v>
      </c>
      <c r="K49" t="s">
        <v>147</v>
      </c>
      <c r="L49" t="s">
        <v>157</v>
      </c>
      <c r="M49">
        <v>0</v>
      </c>
      <c r="N49" t="s">
        <v>149</v>
      </c>
      <c r="O49" t="s">
        <v>149</v>
      </c>
      <c r="P49" t="s">
        <v>149</v>
      </c>
      <c r="Q49" t="s">
        <v>150</v>
      </c>
      <c r="R49" t="s">
        <v>150</v>
      </c>
      <c r="S49" t="s">
        <v>149</v>
      </c>
      <c r="T49">
        <v>18</v>
      </c>
      <c r="U49">
        <v>7</v>
      </c>
      <c r="V49">
        <v>6</v>
      </c>
      <c r="W49">
        <v>6</v>
      </c>
    </row>
    <row r="50" spans="1:23">
      <c r="A50">
        <v>46</v>
      </c>
      <c r="B50" t="s">
        <v>151</v>
      </c>
      <c r="C50" t="s">
        <v>143</v>
      </c>
      <c r="D50">
        <v>15</v>
      </c>
      <c r="E50" t="s">
        <v>40</v>
      </c>
      <c r="F50" t="s">
        <v>152</v>
      </c>
      <c r="G50" t="s">
        <v>155</v>
      </c>
      <c r="H50" t="s">
        <v>101</v>
      </c>
      <c r="I50" t="s">
        <v>158</v>
      </c>
      <c r="J50" t="s">
        <v>147</v>
      </c>
      <c r="K50" t="s">
        <v>147</v>
      </c>
      <c r="L50" t="s">
        <v>148</v>
      </c>
      <c r="M50">
        <v>0</v>
      </c>
      <c r="N50" t="s">
        <v>150</v>
      </c>
      <c r="O50" t="s">
        <v>150</v>
      </c>
      <c r="P50" t="s">
        <v>150</v>
      </c>
      <c r="Q50" t="s">
        <v>150</v>
      </c>
      <c r="R50" t="s">
        <v>150</v>
      </c>
      <c r="S50" t="s">
        <v>150</v>
      </c>
      <c r="T50">
        <v>8</v>
      </c>
      <c r="U50">
        <v>8</v>
      </c>
      <c r="V50">
        <v>8</v>
      </c>
      <c r="W50">
        <v>6</v>
      </c>
    </row>
    <row r="51" spans="1:23">
      <c r="A51">
        <v>93</v>
      </c>
      <c r="B51" t="s">
        <v>151</v>
      </c>
      <c r="C51" t="s">
        <v>143</v>
      </c>
      <c r="D51">
        <v>16</v>
      </c>
      <c r="E51" t="s">
        <v>40</v>
      </c>
      <c r="F51" t="s">
        <v>152</v>
      </c>
      <c r="G51" t="s">
        <v>145</v>
      </c>
      <c r="H51" t="s">
        <v>158</v>
      </c>
      <c r="I51" t="s">
        <v>146</v>
      </c>
      <c r="J51" t="s">
        <v>147</v>
      </c>
      <c r="K51" t="s">
        <v>147</v>
      </c>
      <c r="L51" t="s">
        <v>148</v>
      </c>
      <c r="M51">
        <v>0</v>
      </c>
      <c r="N51" t="s">
        <v>150</v>
      </c>
      <c r="O51" t="s">
        <v>149</v>
      </c>
      <c r="P51" t="s">
        <v>149</v>
      </c>
      <c r="Q51" t="s">
        <v>150</v>
      </c>
      <c r="R51" t="s">
        <v>149</v>
      </c>
      <c r="S51" t="s">
        <v>149</v>
      </c>
      <c r="T51">
        <v>4</v>
      </c>
      <c r="U51">
        <v>7</v>
      </c>
      <c r="V51">
        <v>6</v>
      </c>
      <c r="W51">
        <v>6</v>
      </c>
    </row>
    <row r="52" spans="1:23">
      <c r="A52">
        <v>387</v>
      </c>
      <c r="B52" t="s">
        <v>142</v>
      </c>
      <c r="C52" t="s">
        <v>143</v>
      </c>
      <c r="D52">
        <v>18</v>
      </c>
      <c r="E52" t="s">
        <v>41</v>
      </c>
      <c r="F52" t="s">
        <v>144</v>
      </c>
      <c r="G52" t="s">
        <v>145</v>
      </c>
      <c r="H52" t="s">
        <v>101</v>
      </c>
      <c r="I52" t="s">
        <v>101</v>
      </c>
      <c r="J52" t="s">
        <v>160</v>
      </c>
      <c r="K52" t="s">
        <v>156</v>
      </c>
      <c r="L52" t="s">
        <v>157</v>
      </c>
      <c r="M52">
        <v>0</v>
      </c>
      <c r="N52" t="s">
        <v>149</v>
      </c>
      <c r="O52" t="s">
        <v>150</v>
      </c>
      <c r="P52" t="s">
        <v>150</v>
      </c>
      <c r="Q52" t="s">
        <v>150</v>
      </c>
      <c r="R52" t="s">
        <v>150</v>
      </c>
      <c r="S52" t="s">
        <v>150</v>
      </c>
      <c r="T52">
        <v>7</v>
      </c>
      <c r="U52">
        <v>6</v>
      </c>
      <c r="V52">
        <v>5</v>
      </c>
      <c r="W52">
        <v>6</v>
      </c>
    </row>
    <row r="53" spans="1:23">
      <c r="A53">
        <v>68</v>
      </c>
      <c r="B53" t="s">
        <v>151</v>
      </c>
      <c r="C53" t="s">
        <v>143</v>
      </c>
      <c r="D53">
        <v>16</v>
      </c>
      <c r="E53" t="s">
        <v>40</v>
      </c>
      <c r="F53" t="s">
        <v>144</v>
      </c>
      <c r="G53" t="s">
        <v>145</v>
      </c>
      <c r="H53" t="s">
        <v>158</v>
      </c>
      <c r="I53" t="s">
        <v>146</v>
      </c>
      <c r="J53" t="s">
        <v>153</v>
      </c>
      <c r="K53" t="s">
        <v>147</v>
      </c>
      <c r="L53" t="s">
        <v>154</v>
      </c>
      <c r="M53">
        <v>0</v>
      </c>
      <c r="N53" t="s">
        <v>150</v>
      </c>
      <c r="O53" t="s">
        <v>150</v>
      </c>
      <c r="P53" t="s">
        <v>149</v>
      </c>
      <c r="Q53" t="s">
        <v>150</v>
      </c>
      <c r="R53" t="s">
        <v>150</v>
      </c>
      <c r="S53" t="s">
        <v>149</v>
      </c>
      <c r="T53">
        <v>4</v>
      </c>
      <c r="U53">
        <v>7</v>
      </c>
      <c r="V53">
        <v>7</v>
      </c>
      <c r="W53">
        <v>6</v>
      </c>
    </row>
    <row r="54" spans="1:23">
      <c r="A54">
        <v>2</v>
      </c>
      <c r="B54" t="s">
        <v>151</v>
      </c>
      <c r="C54" t="s">
        <v>143</v>
      </c>
      <c r="D54">
        <v>17</v>
      </c>
      <c r="E54" t="s">
        <v>40</v>
      </c>
      <c r="F54" t="s">
        <v>144</v>
      </c>
      <c r="G54" t="s">
        <v>145</v>
      </c>
      <c r="H54" t="s">
        <v>146</v>
      </c>
      <c r="I54" t="s">
        <v>146</v>
      </c>
      <c r="J54" t="s">
        <v>156</v>
      </c>
      <c r="K54" t="s">
        <v>147</v>
      </c>
      <c r="L54" t="s">
        <v>148</v>
      </c>
      <c r="M54">
        <v>0</v>
      </c>
      <c r="N54" t="s">
        <v>149</v>
      </c>
      <c r="O54" t="s">
        <v>149</v>
      </c>
      <c r="P54" t="s">
        <v>149</v>
      </c>
      <c r="Q54" t="s">
        <v>149</v>
      </c>
      <c r="R54" t="s">
        <v>150</v>
      </c>
      <c r="S54" t="s">
        <v>149</v>
      </c>
      <c r="T54">
        <v>4</v>
      </c>
      <c r="U54">
        <v>5</v>
      </c>
      <c r="V54">
        <v>5</v>
      </c>
      <c r="W54">
        <v>6</v>
      </c>
    </row>
    <row r="55" spans="1:23">
      <c r="A55">
        <v>87</v>
      </c>
      <c r="B55" t="s">
        <v>151</v>
      </c>
      <c r="C55" t="s">
        <v>143</v>
      </c>
      <c r="D55">
        <v>16</v>
      </c>
      <c r="E55" t="s">
        <v>40</v>
      </c>
      <c r="F55" t="s">
        <v>152</v>
      </c>
      <c r="G55" t="s">
        <v>145</v>
      </c>
      <c r="H55" t="s">
        <v>100</v>
      </c>
      <c r="I55" t="s">
        <v>100</v>
      </c>
      <c r="J55" t="s">
        <v>156</v>
      </c>
      <c r="K55" t="s">
        <v>147</v>
      </c>
      <c r="L55" t="s">
        <v>148</v>
      </c>
      <c r="M55">
        <v>0</v>
      </c>
      <c r="N55" t="s">
        <v>149</v>
      </c>
      <c r="O55" t="s">
        <v>149</v>
      </c>
      <c r="P55" t="s">
        <v>149</v>
      </c>
      <c r="Q55" t="s">
        <v>150</v>
      </c>
      <c r="R55" t="s">
        <v>149</v>
      </c>
      <c r="S55" t="s">
        <v>149</v>
      </c>
      <c r="T55">
        <v>4</v>
      </c>
      <c r="U55">
        <v>8</v>
      </c>
      <c r="V55">
        <v>7</v>
      </c>
      <c r="W55">
        <v>6</v>
      </c>
    </row>
    <row r="56" spans="1:23">
      <c r="A56">
        <v>1</v>
      </c>
      <c r="B56" t="s">
        <v>151</v>
      </c>
      <c r="C56" t="s">
        <v>143</v>
      </c>
      <c r="D56">
        <v>18</v>
      </c>
      <c r="E56" t="s">
        <v>40</v>
      </c>
      <c r="F56" t="s">
        <v>144</v>
      </c>
      <c r="G56" t="s">
        <v>155</v>
      </c>
      <c r="H56" t="s">
        <v>101</v>
      </c>
      <c r="I56" t="s">
        <v>101</v>
      </c>
      <c r="J56" t="s">
        <v>156</v>
      </c>
      <c r="K56" t="s">
        <v>160</v>
      </c>
      <c r="L56" t="s">
        <v>148</v>
      </c>
      <c r="M56">
        <v>0</v>
      </c>
      <c r="N56" t="s">
        <v>150</v>
      </c>
      <c r="O56" t="s">
        <v>149</v>
      </c>
      <c r="P56" t="s">
        <v>149</v>
      </c>
      <c r="Q56" t="s">
        <v>150</v>
      </c>
      <c r="R56" t="s">
        <v>149</v>
      </c>
      <c r="S56" t="s">
        <v>149</v>
      </c>
      <c r="T56">
        <v>6</v>
      </c>
      <c r="U56">
        <v>5</v>
      </c>
      <c r="V56">
        <v>6</v>
      </c>
      <c r="W56">
        <v>6</v>
      </c>
    </row>
    <row r="57" spans="1:23">
      <c r="A57">
        <v>8</v>
      </c>
      <c r="B57" t="s">
        <v>151</v>
      </c>
      <c r="C57" t="s">
        <v>143</v>
      </c>
      <c r="D57">
        <v>17</v>
      </c>
      <c r="E57" t="s">
        <v>40</v>
      </c>
      <c r="F57" t="s">
        <v>144</v>
      </c>
      <c r="G57" t="s">
        <v>155</v>
      </c>
      <c r="H57" t="s">
        <v>101</v>
      </c>
      <c r="I57" t="s">
        <v>101</v>
      </c>
      <c r="J57" t="s">
        <v>147</v>
      </c>
      <c r="K57" t="s">
        <v>160</v>
      </c>
      <c r="L57" t="s">
        <v>148</v>
      </c>
      <c r="M57">
        <v>0</v>
      </c>
      <c r="N57" t="s">
        <v>150</v>
      </c>
      <c r="O57" t="s">
        <v>149</v>
      </c>
      <c r="P57" t="s">
        <v>149</v>
      </c>
      <c r="Q57" t="s">
        <v>150</v>
      </c>
      <c r="R57" t="s">
        <v>149</v>
      </c>
      <c r="S57" t="s">
        <v>149</v>
      </c>
      <c r="T57">
        <v>6</v>
      </c>
      <c r="U57">
        <v>6</v>
      </c>
      <c r="V57">
        <v>5</v>
      </c>
      <c r="W57">
        <v>6</v>
      </c>
    </row>
    <row r="58" spans="1:23">
      <c r="A58">
        <v>83</v>
      </c>
      <c r="B58" t="s">
        <v>151</v>
      </c>
      <c r="C58" t="s">
        <v>143</v>
      </c>
      <c r="D58">
        <v>15</v>
      </c>
      <c r="E58" t="s">
        <v>40</v>
      </c>
      <c r="F58" t="s">
        <v>152</v>
      </c>
      <c r="G58" t="s">
        <v>145</v>
      </c>
      <c r="H58" t="s">
        <v>158</v>
      </c>
      <c r="I58" t="s">
        <v>100</v>
      </c>
      <c r="J58" t="s">
        <v>153</v>
      </c>
      <c r="K58" t="s">
        <v>147</v>
      </c>
      <c r="L58" t="s">
        <v>148</v>
      </c>
      <c r="M58">
        <v>0</v>
      </c>
      <c r="N58" t="s">
        <v>149</v>
      </c>
      <c r="O58" t="s">
        <v>150</v>
      </c>
      <c r="P58" t="s">
        <v>149</v>
      </c>
      <c r="Q58" t="s">
        <v>150</v>
      </c>
      <c r="R58" t="s">
        <v>150</v>
      </c>
      <c r="S58" t="s">
        <v>149</v>
      </c>
      <c r="T58">
        <v>10</v>
      </c>
      <c r="U58">
        <v>7</v>
      </c>
      <c r="V58">
        <v>6</v>
      </c>
      <c r="W58">
        <v>6</v>
      </c>
    </row>
    <row r="59" spans="1:23">
      <c r="A59">
        <v>221</v>
      </c>
      <c r="B59" t="s">
        <v>151</v>
      </c>
      <c r="C59" t="s">
        <v>143</v>
      </c>
      <c r="D59">
        <v>17</v>
      </c>
      <c r="E59" t="s">
        <v>41</v>
      </c>
      <c r="F59" t="s">
        <v>144</v>
      </c>
      <c r="G59" t="s">
        <v>145</v>
      </c>
      <c r="H59" t="s">
        <v>100</v>
      </c>
      <c r="I59" t="s">
        <v>146</v>
      </c>
      <c r="J59" t="s">
        <v>156</v>
      </c>
      <c r="K59" t="s">
        <v>153</v>
      </c>
      <c r="L59" t="s">
        <v>148</v>
      </c>
      <c r="M59">
        <v>0</v>
      </c>
      <c r="N59" t="s">
        <v>149</v>
      </c>
      <c r="O59" t="s">
        <v>149</v>
      </c>
      <c r="P59" t="s">
        <v>150</v>
      </c>
      <c r="Q59" t="s">
        <v>150</v>
      </c>
      <c r="R59" t="s">
        <v>150</v>
      </c>
      <c r="S59" t="s">
        <v>149</v>
      </c>
      <c r="T59">
        <v>2</v>
      </c>
      <c r="U59">
        <v>6</v>
      </c>
      <c r="V59">
        <v>6</v>
      </c>
      <c r="W59">
        <v>6</v>
      </c>
    </row>
    <row r="60" spans="1:23">
      <c r="A60">
        <v>104</v>
      </c>
      <c r="B60" t="s">
        <v>151</v>
      </c>
      <c r="C60" t="s">
        <v>143</v>
      </c>
      <c r="D60">
        <v>15</v>
      </c>
      <c r="E60" t="s">
        <v>40</v>
      </c>
      <c r="F60" t="s">
        <v>144</v>
      </c>
      <c r="G60" t="s">
        <v>145</v>
      </c>
      <c r="H60" t="s">
        <v>158</v>
      </c>
      <c r="I60" t="s">
        <v>100</v>
      </c>
      <c r="J60" t="s">
        <v>153</v>
      </c>
      <c r="K60" t="s">
        <v>147</v>
      </c>
      <c r="L60" t="s">
        <v>148</v>
      </c>
      <c r="M60">
        <v>0</v>
      </c>
      <c r="N60" t="s">
        <v>150</v>
      </c>
      <c r="O60" t="s">
        <v>150</v>
      </c>
      <c r="P60" t="s">
        <v>149</v>
      </c>
      <c r="Q60" t="s">
        <v>150</v>
      </c>
      <c r="R60" t="s">
        <v>150</v>
      </c>
      <c r="S60" t="s">
        <v>149</v>
      </c>
      <c r="T60">
        <v>26</v>
      </c>
      <c r="U60">
        <v>7</v>
      </c>
      <c r="V60">
        <v>6</v>
      </c>
      <c r="W60">
        <v>6</v>
      </c>
    </row>
    <row r="61" spans="1:23">
      <c r="A61">
        <v>235</v>
      </c>
      <c r="B61" t="s">
        <v>151</v>
      </c>
      <c r="C61" t="s">
        <v>162</v>
      </c>
      <c r="D61">
        <v>16</v>
      </c>
      <c r="E61" t="s">
        <v>40</v>
      </c>
      <c r="F61" t="s">
        <v>152</v>
      </c>
      <c r="G61" t="s">
        <v>145</v>
      </c>
      <c r="H61" t="s">
        <v>146</v>
      </c>
      <c r="I61" t="s">
        <v>146</v>
      </c>
      <c r="J61" t="s">
        <v>147</v>
      </c>
      <c r="K61" t="s">
        <v>147</v>
      </c>
      <c r="L61" t="s">
        <v>148</v>
      </c>
      <c r="M61">
        <v>0</v>
      </c>
      <c r="N61" t="s">
        <v>149</v>
      </c>
      <c r="O61" t="s">
        <v>150</v>
      </c>
      <c r="P61" t="s">
        <v>149</v>
      </c>
      <c r="Q61" t="s">
        <v>150</v>
      </c>
      <c r="R61" t="s">
        <v>150</v>
      </c>
      <c r="S61" t="s">
        <v>149</v>
      </c>
      <c r="T61">
        <v>18</v>
      </c>
      <c r="U61">
        <v>9</v>
      </c>
      <c r="V61">
        <v>7</v>
      </c>
      <c r="W61">
        <v>6</v>
      </c>
    </row>
    <row r="62" spans="1:23">
      <c r="A62">
        <v>178</v>
      </c>
      <c r="B62" t="s">
        <v>151</v>
      </c>
      <c r="C62" t="s">
        <v>162</v>
      </c>
      <c r="D62">
        <v>17</v>
      </c>
      <c r="E62" t="s">
        <v>40</v>
      </c>
      <c r="F62" t="s">
        <v>144</v>
      </c>
      <c r="G62" t="s">
        <v>145</v>
      </c>
      <c r="H62" t="s">
        <v>158</v>
      </c>
      <c r="I62" t="s">
        <v>158</v>
      </c>
      <c r="J62" t="s">
        <v>147</v>
      </c>
      <c r="K62" t="s">
        <v>147</v>
      </c>
      <c r="L62" t="s">
        <v>148</v>
      </c>
      <c r="M62">
        <v>0</v>
      </c>
      <c r="N62" t="s">
        <v>149</v>
      </c>
      <c r="O62" t="s">
        <v>149</v>
      </c>
      <c r="P62" t="s">
        <v>150</v>
      </c>
      <c r="Q62" t="s">
        <v>149</v>
      </c>
      <c r="R62" t="s">
        <v>150</v>
      </c>
      <c r="S62" t="s">
        <v>149</v>
      </c>
      <c r="T62">
        <v>4</v>
      </c>
      <c r="U62">
        <v>6</v>
      </c>
      <c r="V62">
        <v>5</v>
      </c>
      <c r="W62">
        <v>6</v>
      </c>
    </row>
    <row r="63" spans="1:23">
      <c r="A63">
        <v>210</v>
      </c>
      <c r="B63" t="s">
        <v>151</v>
      </c>
      <c r="C63" t="s">
        <v>143</v>
      </c>
      <c r="D63">
        <v>17</v>
      </c>
      <c r="E63" t="s">
        <v>41</v>
      </c>
      <c r="F63" t="s">
        <v>144</v>
      </c>
      <c r="G63" t="s">
        <v>145</v>
      </c>
      <c r="H63" t="s">
        <v>101</v>
      </c>
      <c r="I63" t="s">
        <v>158</v>
      </c>
      <c r="J63" t="s">
        <v>160</v>
      </c>
      <c r="K63" t="s">
        <v>147</v>
      </c>
      <c r="L63" t="s">
        <v>161</v>
      </c>
      <c r="M63">
        <v>0</v>
      </c>
      <c r="N63" t="s">
        <v>149</v>
      </c>
      <c r="O63" t="s">
        <v>150</v>
      </c>
      <c r="P63" t="s">
        <v>150</v>
      </c>
      <c r="Q63" t="s">
        <v>150</v>
      </c>
      <c r="R63" t="s">
        <v>150</v>
      </c>
      <c r="S63" t="s">
        <v>150</v>
      </c>
      <c r="T63">
        <v>6</v>
      </c>
      <c r="U63">
        <v>7</v>
      </c>
      <c r="V63">
        <v>7</v>
      </c>
      <c r="W63">
        <v>7</v>
      </c>
    </row>
    <row r="64" spans="1:23">
      <c r="A64">
        <v>207</v>
      </c>
      <c r="B64" t="s">
        <v>151</v>
      </c>
      <c r="C64" t="s">
        <v>143</v>
      </c>
      <c r="D64">
        <v>16</v>
      </c>
      <c r="E64" t="s">
        <v>40</v>
      </c>
      <c r="F64" t="s">
        <v>144</v>
      </c>
      <c r="G64" t="s">
        <v>155</v>
      </c>
      <c r="H64" t="s">
        <v>158</v>
      </c>
      <c r="I64" t="s">
        <v>146</v>
      </c>
      <c r="J64" t="s">
        <v>153</v>
      </c>
      <c r="K64" t="s">
        <v>147</v>
      </c>
      <c r="L64" t="s">
        <v>148</v>
      </c>
      <c r="M64">
        <v>3</v>
      </c>
      <c r="N64" t="s">
        <v>149</v>
      </c>
      <c r="O64" t="s">
        <v>150</v>
      </c>
      <c r="P64" t="s">
        <v>149</v>
      </c>
      <c r="Q64" t="s">
        <v>150</v>
      </c>
      <c r="R64" t="s">
        <v>150</v>
      </c>
      <c r="S64" t="s">
        <v>149</v>
      </c>
      <c r="T64">
        <v>5</v>
      </c>
      <c r="U64">
        <v>7</v>
      </c>
      <c r="V64">
        <v>7</v>
      </c>
      <c r="W64">
        <v>7</v>
      </c>
    </row>
    <row r="65" spans="1:23">
      <c r="A65">
        <v>226</v>
      </c>
      <c r="B65" t="s">
        <v>151</v>
      </c>
      <c r="C65" t="s">
        <v>143</v>
      </c>
      <c r="D65">
        <v>18</v>
      </c>
      <c r="E65" t="s">
        <v>41</v>
      </c>
      <c r="F65" t="s">
        <v>144</v>
      </c>
      <c r="G65" t="s">
        <v>145</v>
      </c>
      <c r="H65" t="s">
        <v>158</v>
      </c>
      <c r="I65" t="s">
        <v>146</v>
      </c>
      <c r="J65" t="s">
        <v>147</v>
      </c>
      <c r="K65" t="s">
        <v>147</v>
      </c>
      <c r="L65" t="s">
        <v>148</v>
      </c>
      <c r="M65">
        <v>1</v>
      </c>
      <c r="N65" t="s">
        <v>149</v>
      </c>
      <c r="O65" t="s">
        <v>149</v>
      </c>
      <c r="P65" t="s">
        <v>150</v>
      </c>
      <c r="Q65" t="s">
        <v>150</v>
      </c>
      <c r="R65" t="s">
        <v>150</v>
      </c>
      <c r="S65" t="s">
        <v>150</v>
      </c>
      <c r="T65">
        <v>16</v>
      </c>
      <c r="U65">
        <v>9</v>
      </c>
      <c r="V65">
        <v>8</v>
      </c>
      <c r="W65">
        <v>7</v>
      </c>
    </row>
    <row r="66" spans="1:23">
      <c r="A66">
        <v>50</v>
      </c>
      <c r="B66" t="s">
        <v>151</v>
      </c>
      <c r="C66" t="s">
        <v>143</v>
      </c>
      <c r="D66">
        <v>15</v>
      </c>
      <c r="E66" t="s">
        <v>40</v>
      </c>
      <c r="F66" t="s">
        <v>144</v>
      </c>
      <c r="G66" t="s">
        <v>145</v>
      </c>
      <c r="H66" t="s">
        <v>101</v>
      </c>
      <c r="I66" t="s">
        <v>101</v>
      </c>
      <c r="J66" t="s">
        <v>153</v>
      </c>
      <c r="K66" t="s">
        <v>160</v>
      </c>
      <c r="L66" t="s">
        <v>148</v>
      </c>
      <c r="M66">
        <v>1</v>
      </c>
      <c r="N66" t="s">
        <v>150</v>
      </c>
      <c r="O66" t="s">
        <v>149</v>
      </c>
      <c r="P66" t="s">
        <v>150</v>
      </c>
      <c r="Q66" t="s">
        <v>149</v>
      </c>
      <c r="R66" t="s">
        <v>150</v>
      </c>
      <c r="S66" t="s">
        <v>149</v>
      </c>
      <c r="T66">
        <v>2</v>
      </c>
      <c r="U66">
        <v>7</v>
      </c>
      <c r="V66">
        <v>7</v>
      </c>
      <c r="W66">
        <v>7</v>
      </c>
    </row>
    <row r="67" spans="1:23">
      <c r="A67">
        <v>382</v>
      </c>
      <c r="B67" t="s">
        <v>142</v>
      </c>
      <c r="C67" t="s">
        <v>162</v>
      </c>
      <c r="D67">
        <v>18</v>
      </c>
      <c r="E67" t="s">
        <v>41</v>
      </c>
      <c r="F67" t="s">
        <v>144</v>
      </c>
      <c r="G67" t="s">
        <v>145</v>
      </c>
      <c r="H67" t="s">
        <v>100</v>
      </c>
      <c r="I67" t="s">
        <v>146</v>
      </c>
      <c r="J67" t="s">
        <v>147</v>
      </c>
      <c r="K67" t="s">
        <v>147</v>
      </c>
      <c r="L67" t="s">
        <v>157</v>
      </c>
      <c r="M67">
        <v>0</v>
      </c>
      <c r="N67" t="s">
        <v>149</v>
      </c>
      <c r="O67" t="s">
        <v>149</v>
      </c>
      <c r="P67" t="s">
        <v>150</v>
      </c>
      <c r="Q67" t="s">
        <v>149</v>
      </c>
      <c r="R67" t="s">
        <v>150</v>
      </c>
      <c r="S67" t="s">
        <v>150</v>
      </c>
      <c r="T67">
        <v>5</v>
      </c>
      <c r="U67">
        <v>7</v>
      </c>
      <c r="V67">
        <v>6</v>
      </c>
      <c r="W67">
        <v>7</v>
      </c>
    </row>
    <row r="68" spans="1:23">
      <c r="A68">
        <v>90</v>
      </c>
      <c r="B68" t="s">
        <v>151</v>
      </c>
      <c r="C68" t="s">
        <v>162</v>
      </c>
      <c r="D68">
        <v>16</v>
      </c>
      <c r="E68" t="s">
        <v>40</v>
      </c>
      <c r="F68" t="s">
        <v>152</v>
      </c>
      <c r="G68" t="s">
        <v>155</v>
      </c>
      <c r="H68" t="s">
        <v>101</v>
      </c>
      <c r="I68" t="s">
        <v>101</v>
      </c>
      <c r="J68" t="s">
        <v>160</v>
      </c>
      <c r="K68" t="s">
        <v>159</v>
      </c>
      <c r="L68" t="s">
        <v>148</v>
      </c>
      <c r="M68">
        <v>0</v>
      </c>
      <c r="N68" t="s">
        <v>149</v>
      </c>
      <c r="O68" t="s">
        <v>149</v>
      </c>
      <c r="P68" t="s">
        <v>149</v>
      </c>
      <c r="Q68" t="s">
        <v>150</v>
      </c>
      <c r="R68" t="s">
        <v>149</v>
      </c>
      <c r="S68" t="s">
        <v>149</v>
      </c>
      <c r="T68">
        <v>18</v>
      </c>
      <c r="U68">
        <v>8</v>
      </c>
      <c r="V68">
        <v>6</v>
      </c>
      <c r="W68">
        <v>7</v>
      </c>
    </row>
    <row r="69" spans="1:23">
      <c r="A69">
        <v>393</v>
      </c>
      <c r="B69" t="s">
        <v>142</v>
      </c>
      <c r="C69" t="s">
        <v>162</v>
      </c>
      <c r="D69">
        <v>21</v>
      </c>
      <c r="E69" t="s">
        <v>41</v>
      </c>
      <c r="F69" t="s">
        <v>144</v>
      </c>
      <c r="G69" t="s">
        <v>145</v>
      </c>
      <c r="H69" t="s">
        <v>146</v>
      </c>
      <c r="I69" t="s">
        <v>146</v>
      </c>
      <c r="J69" t="s">
        <v>147</v>
      </c>
      <c r="K69" t="s">
        <v>147</v>
      </c>
      <c r="L69" t="s">
        <v>157</v>
      </c>
      <c r="M69">
        <v>3</v>
      </c>
      <c r="N69" t="s">
        <v>149</v>
      </c>
      <c r="O69" t="s">
        <v>149</v>
      </c>
      <c r="P69" t="s">
        <v>149</v>
      </c>
      <c r="Q69" t="s">
        <v>149</v>
      </c>
      <c r="R69" t="s">
        <v>149</v>
      </c>
      <c r="S69" t="s">
        <v>149</v>
      </c>
      <c r="T69">
        <v>3</v>
      </c>
      <c r="U69">
        <v>10</v>
      </c>
      <c r="V69">
        <v>8</v>
      </c>
      <c r="W69">
        <v>7</v>
      </c>
    </row>
    <row r="70" spans="1:23">
      <c r="A70">
        <v>162</v>
      </c>
      <c r="B70" t="s">
        <v>151</v>
      </c>
      <c r="C70" t="s">
        <v>162</v>
      </c>
      <c r="D70">
        <v>15</v>
      </c>
      <c r="E70" t="s">
        <v>41</v>
      </c>
      <c r="F70" t="s">
        <v>144</v>
      </c>
      <c r="G70" t="s">
        <v>145</v>
      </c>
      <c r="H70" t="s">
        <v>158</v>
      </c>
      <c r="I70" t="s">
        <v>100</v>
      </c>
      <c r="J70" t="s">
        <v>147</v>
      </c>
      <c r="K70" t="s">
        <v>147</v>
      </c>
      <c r="L70" t="s">
        <v>148</v>
      </c>
      <c r="M70">
        <v>2</v>
      </c>
      <c r="N70" t="s">
        <v>150</v>
      </c>
      <c r="O70" t="s">
        <v>149</v>
      </c>
      <c r="P70" t="s">
        <v>149</v>
      </c>
      <c r="Q70" t="s">
        <v>150</v>
      </c>
      <c r="R70" t="s">
        <v>150</v>
      </c>
      <c r="S70" t="s">
        <v>150</v>
      </c>
      <c r="T70">
        <v>6</v>
      </c>
      <c r="U70">
        <v>5</v>
      </c>
      <c r="V70">
        <v>9</v>
      </c>
      <c r="W70">
        <v>7</v>
      </c>
    </row>
    <row r="71" spans="1:23">
      <c r="A71">
        <v>165</v>
      </c>
      <c r="B71" t="s">
        <v>151</v>
      </c>
      <c r="C71" t="s">
        <v>162</v>
      </c>
      <c r="D71">
        <v>17</v>
      </c>
      <c r="E71" t="s">
        <v>41</v>
      </c>
      <c r="F71" t="s">
        <v>152</v>
      </c>
      <c r="G71" t="s">
        <v>145</v>
      </c>
      <c r="H71" t="s">
        <v>146</v>
      </c>
      <c r="I71" t="s">
        <v>146</v>
      </c>
      <c r="J71" t="s">
        <v>147</v>
      </c>
      <c r="K71" t="s">
        <v>153</v>
      </c>
      <c r="L71" t="s">
        <v>148</v>
      </c>
      <c r="M71">
        <v>3</v>
      </c>
      <c r="N71" t="s">
        <v>149</v>
      </c>
      <c r="O71" t="s">
        <v>149</v>
      </c>
      <c r="P71" t="s">
        <v>150</v>
      </c>
      <c r="Q71" t="s">
        <v>150</v>
      </c>
      <c r="R71" t="s">
        <v>149</v>
      </c>
      <c r="S71" t="s">
        <v>150</v>
      </c>
      <c r="T71">
        <v>0</v>
      </c>
      <c r="U71">
        <v>5</v>
      </c>
      <c r="V71">
        <v>8</v>
      </c>
      <c r="W71">
        <v>7</v>
      </c>
    </row>
    <row r="72" spans="1:23">
      <c r="A72">
        <v>26</v>
      </c>
      <c r="B72" t="s">
        <v>151</v>
      </c>
      <c r="C72" t="s">
        <v>143</v>
      </c>
      <c r="D72">
        <v>16</v>
      </c>
      <c r="E72" t="s">
        <v>40</v>
      </c>
      <c r="F72" t="s">
        <v>144</v>
      </c>
      <c r="G72" t="s">
        <v>145</v>
      </c>
      <c r="H72" t="s">
        <v>100</v>
      </c>
      <c r="I72" t="s">
        <v>100</v>
      </c>
      <c r="J72" t="s">
        <v>153</v>
      </c>
      <c r="K72" t="s">
        <v>153</v>
      </c>
      <c r="L72" t="s">
        <v>157</v>
      </c>
      <c r="M72">
        <v>2</v>
      </c>
      <c r="N72" t="s">
        <v>149</v>
      </c>
      <c r="O72" t="s">
        <v>150</v>
      </c>
      <c r="P72" t="s">
        <v>149</v>
      </c>
      <c r="Q72" t="s">
        <v>149</v>
      </c>
      <c r="R72" t="s">
        <v>150</v>
      </c>
      <c r="S72" t="s">
        <v>149</v>
      </c>
      <c r="T72">
        <v>14</v>
      </c>
      <c r="U72">
        <v>6</v>
      </c>
      <c r="V72">
        <v>9</v>
      </c>
      <c r="W72">
        <v>8</v>
      </c>
    </row>
    <row r="73" spans="1:23">
      <c r="A73">
        <v>25</v>
      </c>
      <c r="B73" t="s">
        <v>151</v>
      </c>
      <c r="C73" t="s">
        <v>143</v>
      </c>
      <c r="D73">
        <v>15</v>
      </c>
      <c r="E73" t="s">
        <v>41</v>
      </c>
      <c r="F73" t="s">
        <v>144</v>
      </c>
      <c r="G73" t="s">
        <v>145</v>
      </c>
      <c r="H73" t="s">
        <v>100</v>
      </c>
      <c r="I73" t="s">
        <v>101</v>
      </c>
      <c r="J73" t="s">
        <v>153</v>
      </c>
      <c r="K73" t="s">
        <v>159</v>
      </c>
      <c r="L73" t="s">
        <v>161</v>
      </c>
      <c r="M73">
        <v>0</v>
      </c>
      <c r="N73" t="s">
        <v>150</v>
      </c>
      <c r="O73" t="s">
        <v>150</v>
      </c>
      <c r="P73" t="s">
        <v>150</v>
      </c>
      <c r="Q73" t="s">
        <v>150</v>
      </c>
      <c r="R73" t="s">
        <v>150</v>
      </c>
      <c r="S73" t="s">
        <v>149</v>
      </c>
      <c r="T73">
        <v>2</v>
      </c>
      <c r="U73">
        <v>10</v>
      </c>
      <c r="V73">
        <v>9</v>
      </c>
      <c r="W73">
        <v>8</v>
      </c>
    </row>
    <row r="74" spans="1:23">
      <c r="A74">
        <v>107</v>
      </c>
      <c r="B74" t="s">
        <v>151</v>
      </c>
      <c r="C74" t="s">
        <v>143</v>
      </c>
      <c r="D74">
        <v>15</v>
      </c>
      <c r="E74" t="s">
        <v>40</v>
      </c>
      <c r="F74" t="s">
        <v>144</v>
      </c>
      <c r="G74" t="s">
        <v>145</v>
      </c>
      <c r="H74" t="s">
        <v>100</v>
      </c>
      <c r="I74" t="s">
        <v>100</v>
      </c>
      <c r="J74" t="s">
        <v>147</v>
      </c>
      <c r="K74" t="s">
        <v>147</v>
      </c>
      <c r="L74" t="s">
        <v>154</v>
      </c>
      <c r="M74">
        <v>0</v>
      </c>
      <c r="N74" t="s">
        <v>150</v>
      </c>
      <c r="O74" t="s">
        <v>150</v>
      </c>
      <c r="P74" t="s">
        <v>149</v>
      </c>
      <c r="Q74" t="s">
        <v>150</v>
      </c>
      <c r="R74" t="s">
        <v>150</v>
      </c>
      <c r="S74" t="s">
        <v>149</v>
      </c>
      <c r="T74">
        <v>8</v>
      </c>
      <c r="U74">
        <v>7</v>
      </c>
      <c r="V74">
        <v>8</v>
      </c>
      <c r="W74">
        <v>8</v>
      </c>
    </row>
    <row r="75" spans="1:23">
      <c r="A75">
        <v>219</v>
      </c>
      <c r="B75" t="s">
        <v>151</v>
      </c>
      <c r="C75" t="s">
        <v>143</v>
      </c>
      <c r="D75">
        <v>17</v>
      </c>
      <c r="E75" t="s">
        <v>40</v>
      </c>
      <c r="F75" t="s">
        <v>144</v>
      </c>
      <c r="G75" t="s">
        <v>145</v>
      </c>
      <c r="H75" t="s">
        <v>100</v>
      </c>
      <c r="I75" t="s">
        <v>158</v>
      </c>
      <c r="J75" t="s">
        <v>156</v>
      </c>
      <c r="K75" t="s">
        <v>147</v>
      </c>
      <c r="L75" t="s">
        <v>157</v>
      </c>
      <c r="M75">
        <v>0</v>
      </c>
      <c r="N75" t="s">
        <v>149</v>
      </c>
      <c r="O75" t="s">
        <v>150</v>
      </c>
      <c r="P75" t="s">
        <v>149</v>
      </c>
      <c r="Q75" t="s">
        <v>150</v>
      </c>
      <c r="R75" t="s">
        <v>149</v>
      </c>
      <c r="S75" t="s">
        <v>149</v>
      </c>
      <c r="T75">
        <v>3</v>
      </c>
      <c r="U75">
        <v>7</v>
      </c>
      <c r="V75">
        <v>7</v>
      </c>
      <c r="W75">
        <v>8</v>
      </c>
    </row>
    <row r="76" spans="1:23">
      <c r="A76">
        <v>69</v>
      </c>
      <c r="B76" t="s">
        <v>151</v>
      </c>
      <c r="C76" t="s">
        <v>143</v>
      </c>
      <c r="D76">
        <v>15</v>
      </c>
      <c r="E76" t="s">
        <v>41</v>
      </c>
      <c r="F76" t="s">
        <v>152</v>
      </c>
      <c r="G76" t="s">
        <v>145</v>
      </c>
      <c r="H76" t="s">
        <v>100</v>
      </c>
      <c r="I76" t="s">
        <v>100</v>
      </c>
      <c r="J76" t="s">
        <v>159</v>
      </c>
      <c r="K76" t="s">
        <v>153</v>
      </c>
      <c r="L76" t="s">
        <v>148</v>
      </c>
      <c r="M76">
        <v>0</v>
      </c>
      <c r="N76" t="s">
        <v>150</v>
      </c>
      <c r="O76" t="s">
        <v>150</v>
      </c>
      <c r="P76" t="s">
        <v>149</v>
      </c>
      <c r="Q76" t="s">
        <v>150</v>
      </c>
      <c r="R76" t="s">
        <v>150</v>
      </c>
      <c r="S76" t="s">
        <v>149</v>
      </c>
      <c r="T76">
        <v>2</v>
      </c>
      <c r="U76">
        <v>8</v>
      </c>
      <c r="V76">
        <v>9</v>
      </c>
      <c r="W76">
        <v>8</v>
      </c>
    </row>
    <row r="77" spans="1:23">
      <c r="A77">
        <v>91</v>
      </c>
      <c r="B77" t="s">
        <v>151</v>
      </c>
      <c r="C77" t="s">
        <v>143</v>
      </c>
      <c r="D77">
        <v>16</v>
      </c>
      <c r="E77" t="s">
        <v>40</v>
      </c>
      <c r="F77" t="s">
        <v>144</v>
      </c>
      <c r="G77" t="s">
        <v>145</v>
      </c>
      <c r="H77" t="s">
        <v>158</v>
      </c>
      <c r="I77" t="s">
        <v>158</v>
      </c>
      <c r="J77" t="s">
        <v>147</v>
      </c>
      <c r="K77" t="s">
        <v>147</v>
      </c>
      <c r="L77" t="s">
        <v>161</v>
      </c>
      <c r="M77">
        <v>0</v>
      </c>
      <c r="N77" t="s">
        <v>149</v>
      </c>
      <c r="O77" t="s">
        <v>150</v>
      </c>
      <c r="P77" t="s">
        <v>149</v>
      </c>
      <c r="Q77" t="s">
        <v>150</v>
      </c>
      <c r="R77" t="s">
        <v>150</v>
      </c>
      <c r="S77" t="s">
        <v>150</v>
      </c>
      <c r="T77">
        <v>0</v>
      </c>
      <c r="U77">
        <v>7</v>
      </c>
      <c r="V77">
        <v>7</v>
      </c>
      <c r="W77">
        <v>8</v>
      </c>
    </row>
    <row r="78" spans="1:23">
      <c r="A78">
        <v>211</v>
      </c>
      <c r="B78" t="s">
        <v>151</v>
      </c>
      <c r="C78" t="s">
        <v>143</v>
      </c>
      <c r="D78">
        <v>19</v>
      </c>
      <c r="E78" t="s">
        <v>40</v>
      </c>
      <c r="F78" t="s">
        <v>144</v>
      </c>
      <c r="G78" t="s">
        <v>145</v>
      </c>
      <c r="H78" t="s">
        <v>158</v>
      </c>
      <c r="I78" t="s">
        <v>158</v>
      </c>
      <c r="J78" t="s">
        <v>147</v>
      </c>
      <c r="K78" t="s">
        <v>147</v>
      </c>
      <c r="L78" t="s">
        <v>154</v>
      </c>
      <c r="M78">
        <v>0</v>
      </c>
      <c r="N78" t="s">
        <v>149</v>
      </c>
      <c r="O78" t="s">
        <v>150</v>
      </c>
      <c r="P78" t="s">
        <v>150</v>
      </c>
      <c r="Q78" t="s">
        <v>150</v>
      </c>
      <c r="R78" t="s">
        <v>150</v>
      </c>
      <c r="S78" t="s">
        <v>149</v>
      </c>
      <c r="T78">
        <v>10</v>
      </c>
      <c r="U78">
        <v>8</v>
      </c>
      <c r="V78">
        <v>8</v>
      </c>
      <c r="W78">
        <v>8</v>
      </c>
    </row>
    <row r="79" spans="1:23">
      <c r="A79">
        <v>184</v>
      </c>
      <c r="B79" t="s">
        <v>151</v>
      </c>
      <c r="C79" t="s">
        <v>143</v>
      </c>
      <c r="D79">
        <v>17</v>
      </c>
      <c r="E79" t="s">
        <v>40</v>
      </c>
      <c r="F79" t="s">
        <v>152</v>
      </c>
      <c r="G79" t="s">
        <v>145</v>
      </c>
      <c r="H79" t="s">
        <v>158</v>
      </c>
      <c r="I79" t="s">
        <v>158</v>
      </c>
      <c r="J79" t="s">
        <v>147</v>
      </c>
      <c r="K79" t="s">
        <v>147</v>
      </c>
      <c r="L79" t="s">
        <v>148</v>
      </c>
      <c r="M79">
        <v>0</v>
      </c>
      <c r="N79" t="s">
        <v>149</v>
      </c>
      <c r="O79" t="s">
        <v>149</v>
      </c>
      <c r="P79" t="s">
        <v>150</v>
      </c>
      <c r="Q79" t="s">
        <v>150</v>
      </c>
      <c r="R79" t="s">
        <v>150</v>
      </c>
      <c r="S79" t="s">
        <v>150</v>
      </c>
      <c r="T79">
        <v>56</v>
      </c>
      <c r="U79">
        <v>9</v>
      </c>
      <c r="V79">
        <v>9</v>
      </c>
      <c r="W79">
        <v>8</v>
      </c>
    </row>
    <row r="80" spans="1:23">
      <c r="A80">
        <v>279</v>
      </c>
      <c r="B80" t="s">
        <v>151</v>
      </c>
      <c r="C80" t="s">
        <v>143</v>
      </c>
      <c r="D80">
        <v>18</v>
      </c>
      <c r="E80" t="s">
        <v>40</v>
      </c>
      <c r="F80" t="s">
        <v>144</v>
      </c>
      <c r="G80" t="s">
        <v>145</v>
      </c>
      <c r="H80" t="s">
        <v>101</v>
      </c>
      <c r="I80" t="s">
        <v>101</v>
      </c>
      <c r="J80" t="s">
        <v>159</v>
      </c>
      <c r="K80" t="s">
        <v>159</v>
      </c>
      <c r="L80" t="s">
        <v>148</v>
      </c>
      <c r="M80">
        <v>1</v>
      </c>
      <c r="N80" t="s">
        <v>150</v>
      </c>
      <c r="O80" t="s">
        <v>149</v>
      </c>
      <c r="P80" t="s">
        <v>150</v>
      </c>
      <c r="Q80" t="s">
        <v>150</v>
      </c>
      <c r="R80" t="s">
        <v>150</v>
      </c>
      <c r="S80" t="s">
        <v>150</v>
      </c>
      <c r="T80">
        <v>15</v>
      </c>
      <c r="U80">
        <v>9</v>
      </c>
      <c r="V80">
        <v>8</v>
      </c>
      <c r="W80">
        <v>8</v>
      </c>
    </row>
    <row r="81" spans="1:23">
      <c r="A81">
        <v>86</v>
      </c>
      <c r="B81" t="s">
        <v>151</v>
      </c>
      <c r="C81" t="s">
        <v>143</v>
      </c>
      <c r="D81">
        <v>15</v>
      </c>
      <c r="E81" t="s">
        <v>40</v>
      </c>
      <c r="F81" t="s">
        <v>144</v>
      </c>
      <c r="G81" t="s">
        <v>145</v>
      </c>
      <c r="H81" t="s">
        <v>101</v>
      </c>
      <c r="I81" t="s">
        <v>101</v>
      </c>
      <c r="J81" t="s">
        <v>153</v>
      </c>
      <c r="K81" t="s">
        <v>153</v>
      </c>
      <c r="L81" t="s">
        <v>148</v>
      </c>
      <c r="M81">
        <v>2</v>
      </c>
      <c r="N81" t="s">
        <v>149</v>
      </c>
      <c r="O81" t="s">
        <v>150</v>
      </c>
      <c r="P81" t="s">
        <v>149</v>
      </c>
      <c r="Q81" t="s">
        <v>150</v>
      </c>
      <c r="R81" t="s">
        <v>150</v>
      </c>
      <c r="S81" t="s">
        <v>150</v>
      </c>
      <c r="T81">
        <v>6</v>
      </c>
      <c r="U81">
        <v>7</v>
      </c>
      <c r="V81">
        <v>9</v>
      </c>
      <c r="W81">
        <v>8</v>
      </c>
    </row>
    <row r="82" spans="1:23">
      <c r="A82">
        <v>389</v>
      </c>
      <c r="B82" t="s">
        <v>142</v>
      </c>
      <c r="C82" t="s">
        <v>143</v>
      </c>
      <c r="D82">
        <v>18</v>
      </c>
      <c r="E82" t="s">
        <v>40</v>
      </c>
      <c r="F82" t="s">
        <v>152</v>
      </c>
      <c r="G82" t="s">
        <v>145</v>
      </c>
      <c r="H82" t="s">
        <v>158</v>
      </c>
      <c r="I82" t="s">
        <v>146</v>
      </c>
      <c r="J82" t="s">
        <v>160</v>
      </c>
      <c r="K82" t="s">
        <v>153</v>
      </c>
      <c r="L82" t="s">
        <v>148</v>
      </c>
      <c r="M82">
        <v>0</v>
      </c>
      <c r="N82" t="s">
        <v>149</v>
      </c>
      <c r="O82" t="s">
        <v>150</v>
      </c>
      <c r="P82" t="s">
        <v>149</v>
      </c>
      <c r="Q82" t="s">
        <v>150</v>
      </c>
      <c r="R82" t="s">
        <v>150</v>
      </c>
      <c r="S82" t="s">
        <v>149</v>
      </c>
      <c r="T82">
        <v>0</v>
      </c>
      <c r="U82">
        <v>7</v>
      </c>
      <c r="V82">
        <v>9</v>
      </c>
      <c r="W82">
        <v>8</v>
      </c>
    </row>
    <row r="83" spans="1:23">
      <c r="A83">
        <v>125</v>
      </c>
      <c r="B83" t="s">
        <v>151</v>
      </c>
      <c r="C83" t="s">
        <v>143</v>
      </c>
      <c r="D83">
        <v>16</v>
      </c>
      <c r="E83" t="s">
        <v>40</v>
      </c>
      <c r="F83" t="s">
        <v>144</v>
      </c>
      <c r="G83" t="s">
        <v>145</v>
      </c>
      <c r="H83" t="s">
        <v>100</v>
      </c>
      <c r="I83" t="s">
        <v>100</v>
      </c>
      <c r="J83" t="s">
        <v>147</v>
      </c>
      <c r="K83" t="s">
        <v>147</v>
      </c>
      <c r="L83" t="s">
        <v>148</v>
      </c>
      <c r="M83">
        <v>0</v>
      </c>
      <c r="N83" t="s">
        <v>149</v>
      </c>
      <c r="O83" t="s">
        <v>150</v>
      </c>
      <c r="P83" t="s">
        <v>149</v>
      </c>
      <c r="Q83" t="s">
        <v>150</v>
      </c>
      <c r="R83" t="s">
        <v>150</v>
      </c>
      <c r="S83" t="s">
        <v>150</v>
      </c>
      <c r="T83">
        <v>0</v>
      </c>
      <c r="U83">
        <v>8</v>
      </c>
      <c r="V83">
        <v>7</v>
      </c>
      <c r="W83">
        <v>8</v>
      </c>
    </row>
    <row r="84" spans="1:23">
      <c r="A84">
        <v>298</v>
      </c>
      <c r="B84" t="s">
        <v>151</v>
      </c>
      <c r="C84" t="s">
        <v>143</v>
      </c>
      <c r="D84">
        <v>18</v>
      </c>
      <c r="E84" t="s">
        <v>40</v>
      </c>
      <c r="F84" t="s">
        <v>152</v>
      </c>
      <c r="G84" t="s">
        <v>145</v>
      </c>
      <c r="H84" t="s">
        <v>101</v>
      </c>
      <c r="I84" t="s">
        <v>158</v>
      </c>
      <c r="J84" t="s">
        <v>147</v>
      </c>
      <c r="K84" t="s">
        <v>147</v>
      </c>
      <c r="L84" t="s">
        <v>148</v>
      </c>
      <c r="M84">
        <v>0</v>
      </c>
      <c r="N84" t="s">
        <v>149</v>
      </c>
      <c r="O84" t="s">
        <v>150</v>
      </c>
      <c r="P84" t="s">
        <v>149</v>
      </c>
      <c r="Q84" t="s">
        <v>150</v>
      </c>
      <c r="R84" t="s">
        <v>150</v>
      </c>
      <c r="S84" t="s">
        <v>150</v>
      </c>
      <c r="T84">
        <v>10</v>
      </c>
      <c r="U84">
        <v>10</v>
      </c>
      <c r="V84">
        <v>8</v>
      </c>
      <c r="W84">
        <v>8</v>
      </c>
    </row>
    <row r="85" spans="1:23">
      <c r="A85">
        <v>100</v>
      </c>
      <c r="B85" t="s">
        <v>151</v>
      </c>
      <c r="C85" t="s">
        <v>143</v>
      </c>
      <c r="D85">
        <v>16</v>
      </c>
      <c r="E85" t="s">
        <v>40</v>
      </c>
      <c r="F85" t="s">
        <v>144</v>
      </c>
      <c r="G85" t="s">
        <v>145</v>
      </c>
      <c r="H85" t="s">
        <v>101</v>
      </c>
      <c r="I85" t="s">
        <v>158</v>
      </c>
      <c r="J85" t="s">
        <v>147</v>
      </c>
      <c r="K85" t="s">
        <v>156</v>
      </c>
      <c r="L85" t="s">
        <v>161</v>
      </c>
      <c r="M85">
        <v>0</v>
      </c>
      <c r="N85" t="s">
        <v>150</v>
      </c>
      <c r="O85" t="s">
        <v>150</v>
      </c>
      <c r="P85" t="s">
        <v>149</v>
      </c>
      <c r="Q85" t="s">
        <v>150</v>
      </c>
      <c r="R85" t="s">
        <v>150</v>
      </c>
      <c r="S85" t="s">
        <v>149</v>
      </c>
      <c r="T85">
        <v>0</v>
      </c>
      <c r="U85">
        <v>7</v>
      </c>
      <c r="V85">
        <v>9</v>
      </c>
      <c r="W85">
        <v>8</v>
      </c>
    </row>
    <row r="86" spans="1:23">
      <c r="A86">
        <v>254</v>
      </c>
      <c r="B86" t="s">
        <v>151</v>
      </c>
      <c r="C86" t="s">
        <v>162</v>
      </c>
      <c r="D86">
        <v>16</v>
      </c>
      <c r="E86" t="s">
        <v>41</v>
      </c>
      <c r="F86" t="s">
        <v>144</v>
      </c>
      <c r="G86" t="s">
        <v>145</v>
      </c>
      <c r="H86" t="s">
        <v>100</v>
      </c>
      <c r="I86" t="s">
        <v>146</v>
      </c>
      <c r="J86" t="s">
        <v>147</v>
      </c>
      <c r="K86" t="s">
        <v>147</v>
      </c>
      <c r="L86" t="s">
        <v>157</v>
      </c>
      <c r="M86">
        <v>0</v>
      </c>
      <c r="N86" t="s">
        <v>149</v>
      </c>
      <c r="O86" t="s">
        <v>149</v>
      </c>
      <c r="P86" t="s">
        <v>150</v>
      </c>
      <c r="Q86" t="s">
        <v>149</v>
      </c>
      <c r="R86" t="s">
        <v>149</v>
      </c>
      <c r="S86" t="s">
        <v>149</v>
      </c>
      <c r="T86">
        <v>0</v>
      </c>
      <c r="U86">
        <v>8</v>
      </c>
      <c r="V86">
        <v>9</v>
      </c>
      <c r="W86">
        <v>8</v>
      </c>
    </row>
    <row r="87" spans="1:23">
      <c r="A87">
        <v>262</v>
      </c>
      <c r="B87" t="s">
        <v>151</v>
      </c>
      <c r="C87" t="s">
        <v>162</v>
      </c>
      <c r="D87">
        <v>18</v>
      </c>
      <c r="E87" t="s">
        <v>40</v>
      </c>
      <c r="F87" t="s">
        <v>144</v>
      </c>
      <c r="G87" t="s">
        <v>145</v>
      </c>
      <c r="H87" t="s">
        <v>101</v>
      </c>
      <c r="I87" t="s">
        <v>158</v>
      </c>
      <c r="J87" t="s">
        <v>160</v>
      </c>
      <c r="K87" t="s">
        <v>147</v>
      </c>
      <c r="L87" t="s">
        <v>148</v>
      </c>
      <c r="M87">
        <v>0</v>
      </c>
      <c r="N87" t="s">
        <v>149</v>
      </c>
      <c r="O87" t="s">
        <v>150</v>
      </c>
      <c r="P87" t="s">
        <v>149</v>
      </c>
      <c r="Q87" t="s">
        <v>149</v>
      </c>
      <c r="R87" t="s">
        <v>150</v>
      </c>
      <c r="S87" t="s">
        <v>149</v>
      </c>
      <c r="T87">
        <v>2</v>
      </c>
      <c r="U87">
        <v>8</v>
      </c>
      <c r="V87">
        <v>8</v>
      </c>
      <c r="W87">
        <v>8</v>
      </c>
    </row>
    <row r="88" spans="1:23">
      <c r="A88">
        <v>181</v>
      </c>
      <c r="B88" t="s">
        <v>151</v>
      </c>
      <c r="C88" t="s">
        <v>162</v>
      </c>
      <c r="D88">
        <v>16</v>
      </c>
      <c r="E88" t="s">
        <v>40</v>
      </c>
      <c r="F88" t="s">
        <v>144</v>
      </c>
      <c r="G88" t="s">
        <v>145</v>
      </c>
      <c r="H88" t="s">
        <v>101</v>
      </c>
      <c r="I88" t="s">
        <v>158</v>
      </c>
      <c r="J88" t="s">
        <v>160</v>
      </c>
      <c r="K88" t="s">
        <v>147</v>
      </c>
      <c r="L88" t="s">
        <v>148</v>
      </c>
      <c r="M88">
        <v>0</v>
      </c>
      <c r="N88" t="s">
        <v>149</v>
      </c>
      <c r="O88" t="s">
        <v>150</v>
      </c>
      <c r="P88" t="s">
        <v>150</v>
      </c>
      <c r="Q88" t="s">
        <v>150</v>
      </c>
      <c r="R88" t="s">
        <v>150</v>
      </c>
      <c r="S88" t="s">
        <v>149</v>
      </c>
      <c r="T88">
        <v>10</v>
      </c>
      <c r="U88">
        <v>9</v>
      </c>
      <c r="V88">
        <v>8</v>
      </c>
      <c r="W88">
        <v>8</v>
      </c>
    </row>
    <row r="89" spans="1:23">
      <c r="A89">
        <v>353</v>
      </c>
      <c r="B89" t="s">
        <v>142</v>
      </c>
      <c r="C89" t="s">
        <v>162</v>
      </c>
      <c r="D89">
        <v>18</v>
      </c>
      <c r="E89" t="s">
        <v>40</v>
      </c>
      <c r="F89" t="s">
        <v>152</v>
      </c>
      <c r="G89" t="s">
        <v>145</v>
      </c>
      <c r="H89" t="s">
        <v>146</v>
      </c>
      <c r="I89" t="s">
        <v>158</v>
      </c>
      <c r="J89" t="s">
        <v>156</v>
      </c>
      <c r="K89" t="s">
        <v>153</v>
      </c>
      <c r="L89" t="s">
        <v>157</v>
      </c>
      <c r="M89">
        <v>1</v>
      </c>
      <c r="N89" t="s">
        <v>149</v>
      </c>
      <c r="O89" t="s">
        <v>149</v>
      </c>
      <c r="P89" t="s">
        <v>149</v>
      </c>
      <c r="Q89" t="s">
        <v>150</v>
      </c>
      <c r="R89" t="s">
        <v>150</v>
      </c>
      <c r="S89" t="s">
        <v>150</v>
      </c>
      <c r="T89">
        <v>7</v>
      </c>
      <c r="U89">
        <v>8</v>
      </c>
      <c r="V89">
        <v>7</v>
      </c>
      <c r="W89">
        <v>8</v>
      </c>
    </row>
    <row r="90" spans="1:23">
      <c r="A90">
        <v>218</v>
      </c>
      <c r="B90" t="s">
        <v>151</v>
      </c>
      <c r="C90" t="s">
        <v>162</v>
      </c>
      <c r="D90">
        <v>18</v>
      </c>
      <c r="E90" t="s">
        <v>40</v>
      </c>
      <c r="F90" t="s">
        <v>152</v>
      </c>
      <c r="G90" t="s">
        <v>145</v>
      </c>
      <c r="H90" t="s">
        <v>158</v>
      </c>
      <c r="I90" t="s">
        <v>158</v>
      </c>
      <c r="J90" t="s">
        <v>153</v>
      </c>
      <c r="K90" t="s">
        <v>159</v>
      </c>
      <c r="L90" t="s">
        <v>148</v>
      </c>
      <c r="M90">
        <v>1</v>
      </c>
      <c r="N90" t="s">
        <v>149</v>
      </c>
      <c r="O90" t="s">
        <v>150</v>
      </c>
      <c r="P90" t="s">
        <v>149</v>
      </c>
      <c r="Q90" t="s">
        <v>150</v>
      </c>
      <c r="R90" t="s">
        <v>150</v>
      </c>
      <c r="S90" t="s">
        <v>149</v>
      </c>
      <c r="T90">
        <v>13</v>
      </c>
      <c r="U90">
        <v>6</v>
      </c>
      <c r="V90">
        <v>6</v>
      </c>
      <c r="W90">
        <v>8</v>
      </c>
    </row>
    <row r="91" spans="1:23">
      <c r="A91">
        <v>156</v>
      </c>
      <c r="B91" t="s">
        <v>151</v>
      </c>
      <c r="C91" t="s">
        <v>162</v>
      </c>
      <c r="D91">
        <v>15</v>
      </c>
      <c r="E91" t="s">
        <v>41</v>
      </c>
      <c r="F91" t="s">
        <v>144</v>
      </c>
      <c r="G91" t="s">
        <v>145</v>
      </c>
      <c r="H91" t="s">
        <v>100</v>
      </c>
      <c r="I91" t="s">
        <v>158</v>
      </c>
      <c r="J91" t="s">
        <v>156</v>
      </c>
      <c r="K91" t="s">
        <v>153</v>
      </c>
      <c r="L91" t="s">
        <v>148</v>
      </c>
      <c r="M91">
        <v>0</v>
      </c>
      <c r="N91" t="s">
        <v>150</v>
      </c>
      <c r="O91" t="s">
        <v>150</v>
      </c>
      <c r="P91" t="s">
        <v>150</v>
      </c>
      <c r="Q91" t="s">
        <v>150</v>
      </c>
      <c r="R91" t="s">
        <v>149</v>
      </c>
      <c r="S91" t="s">
        <v>149</v>
      </c>
      <c r="T91">
        <v>2</v>
      </c>
      <c r="U91">
        <v>11</v>
      </c>
      <c r="V91">
        <v>8</v>
      </c>
      <c r="W91">
        <v>8</v>
      </c>
    </row>
    <row r="92" spans="1:23">
      <c r="A92">
        <v>214</v>
      </c>
      <c r="B92" t="s">
        <v>151</v>
      </c>
      <c r="C92" t="s">
        <v>162</v>
      </c>
      <c r="D92">
        <v>18</v>
      </c>
      <c r="E92" t="s">
        <v>40</v>
      </c>
      <c r="F92" t="s">
        <v>144</v>
      </c>
      <c r="G92" t="s">
        <v>145</v>
      </c>
      <c r="H92" t="s">
        <v>100</v>
      </c>
      <c r="I92" t="s">
        <v>100</v>
      </c>
      <c r="J92" t="s">
        <v>153</v>
      </c>
      <c r="K92" t="s">
        <v>147</v>
      </c>
      <c r="L92" t="s">
        <v>148</v>
      </c>
      <c r="M92">
        <v>1</v>
      </c>
      <c r="N92" t="s">
        <v>149</v>
      </c>
      <c r="O92" t="s">
        <v>150</v>
      </c>
      <c r="P92" t="s">
        <v>150</v>
      </c>
      <c r="Q92" t="s">
        <v>150</v>
      </c>
      <c r="R92" t="s">
        <v>150</v>
      </c>
      <c r="S92" t="s">
        <v>149</v>
      </c>
      <c r="T92">
        <v>15</v>
      </c>
      <c r="U92">
        <v>6</v>
      </c>
      <c r="V92">
        <v>7</v>
      </c>
      <c r="W92">
        <v>8</v>
      </c>
    </row>
    <row r="93" spans="1:23">
      <c r="A93">
        <v>281</v>
      </c>
      <c r="B93" t="s">
        <v>151</v>
      </c>
      <c r="C93" t="s">
        <v>162</v>
      </c>
      <c r="D93">
        <v>17</v>
      </c>
      <c r="E93" t="s">
        <v>40</v>
      </c>
      <c r="F93" t="s">
        <v>152</v>
      </c>
      <c r="G93" t="s">
        <v>155</v>
      </c>
      <c r="H93" t="s">
        <v>101</v>
      </c>
      <c r="I93" t="s">
        <v>146</v>
      </c>
      <c r="J93" t="s">
        <v>153</v>
      </c>
      <c r="K93" t="s">
        <v>147</v>
      </c>
      <c r="L93" t="s">
        <v>157</v>
      </c>
      <c r="M93">
        <v>0</v>
      </c>
      <c r="N93" t="s">
        <v>149</v>
      </c>
      <c r="O93" t="s">
        <v>150</v>
      </c>
      <c r="P93" t="s">
        <v>150</v>
      </c>
      <c r="Q93" t="s">
        <v>150</v>
      </c>
      <c r="R93" t="s">
        <v>150</v>
      </c>
      <c r="S93" t="s">
        <v>150</v>
      </c>
      <c r="T93">
        <v>30</v>
      </c>
      <c r="U93">
        <v>8</v>
      </c>
      <c r="V93">
        <v>8</v>
      </c>
      <c r="W93">
        <v>8</v>
      </c>
    </row>
    <row r="94" spans="1:23">
      <c r="A94">
        <v>308</v>
      </c>
      <c r="B94" t="s">
        <v>151</v>
      </c>
      <c r="C94" t="s">
        <v>162</v>
      </c>
      <c r="D94">
        <v>19</v>
      </c>
      <c r="E94" t="s">
        <v>40</v>
      </c>
      <c r="F94" t="s">
        <v>144</v>
      </c>
      <c r="G94" t="s">
        <v>145</v>
      </c>
      <c r="H94" t="s">
        <v>101</v>
      </c>
      <c r="I94" t="s">
        <v>101</v>
      </c>
      <c r="J94" t="s">
        <v>160</v>
      </c>
      <c r="K94" t="s">
        <v>153</v>
      </c>
      <c r="L94" t="s">
        <v>157</v>
      </c>
      <c r="M94">
        <v>1</v>
      </c>
      <c r="N94" t="s">
        <v>149</v>
      </c>
      <c r="O94" t="s">
        <v>150</v>
      </c>
      <c r="P94" t="s">
        <v>149</v>
      </c>
      <c r="Q94" t="s">
        <v>150</v>
      </c>
      <c r="R94" t="s">
        <v>150</v>
      </c>
      <c r="S94" t="s">
        <v>150</v>
      </c>
      <c r="T94">
        <v>38</v>
      </c>
      <c r="U94">
        <v>8</v>
      </c>
      <c r="V94">
        <v>9</v>
      </c>
      <c r="W94">
        <v>8</v>
      </c>
    </row>
    <row r="95" spans="1:23">
      <c r="A95">
        <v>193</v>
      </c>
      <c r="B95" t="s">
        <v>151</v>
      </c>
      <c r="C95" t="s">
        <v>162</v>
      </c>
      <c r="D95">
        <v>17</v>
      </c>
      <c r="E95" t="s">
        <v>40</v>
      </c>
      <c r="F95" t="s">
        <v>144</v>
      </c>
      <c r="G95" t="s">
        <v>145</v>
      </c>
      <c r="H95" t="s">
        <v>146</v>
      </c>
      <c r="I95" t="s">
        <v>100</v>
      </c>
      <c r="J95" t="s">
        <v>156</v>
      </c>
      <c r="K95" t="s">
        <v>153</v>
      </c>
      <c r="L95" t="s">
        <v>148</v>
      </c>
      <c r="M95">
        <v>0</v>
      </c>
      <c r="N95" t="s">
        <v>149</v>
      </c>
      <c r="O95" t="s">
        <v>150</v>
      </c>
      <c r="P95" t="s">
        <v>150</v>
      </c>
      <c r="Q95" t="s">
        <v>149</v>
      </c>
      <c r="R95" t="s">
        <v>150</v>
      </c>
      <c r="S95" t="s">
        <v>149</v>
      </c>
      <c r="T95">
        <v>12</v>
      </c>
      <c r="U95">
        <v>7</v>
      </c>
      <c r="V95">
        <v>8</v>
      </c>
      <c r="W95">
        <v>8</v>
      </c>
    </row>
    <row r="96" spans="1:23">
      <c r="A96">
        <v>256</v>
      </c>
      <c r="B96" t="s">
        <v>151</v>
      </c>
      <c r="C96" t="s">
        <v>162</v>
      </c>
      <c r="D96">
        <v>17</v>
      </c>
      <c r="E96" t="s">
        <v>40</v>
      </c>
      <c r="F96" t="s">
        <v>152</v>
      </c>
      <c r="G96" t="s">
        <v>145</v>
      </c>
      <c r="H96" t="s">
        <v>146</v>
      </c>
      <c r="I96" t="s">
        <v>146</v>
      </c>
      <c r="J96" t="s">
        <v>159</v>
      </c>
      <c r="K96" t="s">
        <v>147</v>
      </c>
      <c r="L96" t="s">
        <v>157</v>
      </c>
      <c r="M96">
        <v>1</v>
      </c>
      <c r="N96" t="s">
        <v>149</v>
      </c>
      <c r="O96" t="s">
        <v>149</v>
      </c>
      <c r="P96" t="s">
        <v>150</v>
      </c>
      <c r="Q96" t="s">
        <v>150</v>
      </c>
      <c r="R96" t="s">
        <v>150</v>
      </c>
      <c r="S96" t="s">
        <v>149</v>
      </c>
      <c r="T96">
        <v>2</v>
      </c>
      <c r="U96">
        <v>7</v>
      </c>
      <c r="V96">
        <v>9</v>
      </c>
      <c r="W96">
        <v>8</v>
      </c>
    </row>
    <row r="97" spans="1:23">
      <c r="A97">
        <v>354</v>
      </c>
      <c r="B97" t="s">
        <v>142</v>
      </c>
      <c r="C97" t="s">
        <v>162</v>
      </c>
      <c r="D97">
        <v>19</v>
      </c>
      <c r="E97" t="s">
        <v>41</v>
      </c>
      <c r="F97" t="s">
        <v>144</v>
      </c>
      <c r="G97" t="s">
        <v>145</v>
      </c>
      <c r="H97" t="s">
        <v>146</v>
      </c>
      <c r="I97" t="s">
        <v>146</v>
      </c>
      <c r="J97" t="s">
        <v>147</v>
      </c>
      <c r="K97" t="s">
        <v>147</v>
      </c>
      <c r="L97" t="s">
        <v>157</v>
      </c>
      <c r="M97">
        <v>1</v>
      </c>
      <c r="N97" t="s">
        <v>149</v>
      </c>
      <c r="O97" t="s">
        <v>149</v>
      </c>
      <c r="P97" t="s">
        <v>149</v>
      </c>
      <c r="Q97" t="s">
        <v>150</v>
      </c>
      <c r="R97" t="s">
        <v>150</v>
      </c>
      <c r="S97" t="s">
        <v>149</v>
      </c>
      <c r="T97">
        <v>4</v>
      </c>
      <c r="U97">
        <v>8</v>
      </c>
      <c r="V97">
        <v>8</v>
      </c>
      <c r="W97">
        <v>8</v>
      </c>
    </row>
    <row r="98" spans="1:23">
      <c r="A98">
        <v>119</v>
      </c>
      <c r="B98" t="s">
        <v>151</v>
      </c>
      <c r="C98" t="s">
        <v>162</v>
      </c>
      <c r="D98">
        <v>17</v>
      </c>
      <c r="E98" t="s">
        <v>41</v>
      </c>
      <c r="F98" t="s">
        <v>144</v>
      </c>
      <c r="G98" t="s">
        <v>145</v>
      </c>
      <c r="H98" t="s">
        <v>146</v>
      </c>
      <c r="I98" t="s">
        <v>158</v>
      </c>
      <c r="J98" t="s">
        <v>147</v>
      </c>
      <c r="K98" t="s">
        <v>147</v>
      </c>
      <c r="L98" t="s">
        <v>148</v>
      </c>
      <c r="M98">
        <v>1</v>
      </c>
      <c r="N98" t="s">
        <v>149</v>
      </c>
      <c r="O98" t="s">
        <v>149</v>
      </c>
      <c r="P98" t="s">
        <v>150</v>
      </c>
      <c r="Q98" t="s">
        <v>150</v>
      </c>
      <c r="R98" t="s">
        <v>150</v>
      </c>
      <c r="S98" t="s">
        <v>149</v>
      </c>
      <c r="T98">
        <v>20</v>
      </c>
      <c r="U98">
        <v>9</v>
      </c>
      <c r="V98">
        <v>7</v>
      </c>
      <c r="W98">
        <v>8</v>
      </c>
    </row>
    <row r="99" spans="1:23">
      <c r="A99">
        <v>351</v>
      </c>
      <c r="B99" t="s">
        <v>142</v>
      </c>
      <c r="C99" t="s">
        <v>162</v>
      </c>
      <c r="D99">
        <v>19</v>
      </c>
      <c r="E99" t="s">
        <v>41</v>
      </c>
      <c r="F99" t="s">
        <v>144</v>
      </c>
      <c r="G99" t="s">
        <v>145</v>
      </c>
      <c r="H99" t="s">
        <v>146</v>
      </c>
      <c r="I99" t="s">
        <v>146</v>
      </c>
      <c r="J99" t="s">
        <v>147</v>
      </c>
      <c r="K99" t="s">
        <v>153</v>
      </c>
      <c r="L99" t="s">
        <v>148</v>
      </c>
      <c r="M99">
        <v>3</v>
      </c>
      <c r="N99" t="s">
        <v>149</v>
      </c>
      <c r="O99" t="s">
        <v>149</v>
      </c>
      <c r="P99" t="s">
        <v>149</v>
      </c>
      <c r="Q99" t="s">
        <v>150</v>
      </c>
      <c r="R99" t="s">
        <v>150</v>
      </c>
      <c r="S99" t="s">
        <v>149</v>
      </c>
      <c r="T99">
        <v>8</v>
      </c>
      <c r="U99">
        <v>8</v>
      </c>
      <c r="V99">
        <v>7</v>
      </c>
      <c r="W99">
        <v>8</v>
      </c>
    </row>
    <row r="100" spans="1:23">
      <c r="A100">
        <v>253</v>
      </c>
      <c r="B100" t="s">
        <v>151</v>
      </c>
      <c r="C100" t="s">
        <v>162</v>
      </c>
      <c r="D100">
        <v>18</v>
      </c>
      <c r="E100" t="s">
        <v>40</v>
      </c>
      <c r="F100" t="s">
        <v>144</v>
      </c>
      <c r="G100" t="s">
        <v>145</v>
      </c>
      <c r="H100" t="s">
        <v>100</v>
      </c>
      <c r="I100" t="s">
        <v>146</v>
      </c>
      <c r="J100" t="s">
        <v>153</v>
      </c>
      <c r="K100" t="s">
        <v>153</v>
      </c>
      <c r="L100" t="s">
        <v>157</v>
      </c>
      <c r="M100">
        <v>1</v>
      </c>
      <c r="N100" t="s">
        <v>149</v>
      </c>
      <c r="O100" t="s">
        <v>149</v>
      </c>
      <c r="P100" t="s">
        <v>149</v>
      </c>
      <c r="Q100" t="s">
        <v>149</v>
      </c>
      <c r="R100" t="s">
        <v>150</v>
      </c>
      <c r="S100" t="s">
        <v>149</v>
      </c>
      <c r="T100">
        <v>4</v>
      </c>
      <c r="U100">
        <v>6</v>
      </c>
      <c r="V100">
        <v>9</v>
      </c>
      <c r="W100">
        <v>8</v>
      </c>
    </row>
    <row r="101" spans="1:23">
      <c r="A101">
        <v>331</v>
      </c>
      <c r="B101" t="s">
        <v>151</v>
      </c>
      <c r="C101" t="s">
        <v>162</v>
      </c>
      <c r="D101">
        <v>18</v>
      </c>
      <c r="E101" t="s">
        <v>40</v>
      </c>
      <c r="F101" t="s">
        <v>152</v>
      </c>
      <c r="G101" t="s">
        <v>145</v>
      </c>
      <c r="H101" t="s">
        <v>100</v>
      </c>
      <c r="I101" t="s">
        <v>100</v>
      </c>
      <c r="J101" t="s">
        <v>147</v>
      </c>
      <c r="K101" t="s">
        <v>147</v>
      </c>
      <c r="L101" t="s">
        <v>154</v>
      </c>
      <c r="M101">
        <v>0</v>
      </c>
      <c r="N101" t="s">
        <v>149</v>
      </c>
      <c r="O101" t="s">
        <v>149</v>
      </c>
      <c r="P101" t="s">
        <v>150</v>
      </c>
      <c r="Q101" t="s">
        <v>150</v>
      </c>
      <c r="R101" t="s">
        <v>150</v>
      </c>
      <c r="S101" t="s">
        <v>149</v>
      </c>
      <c r="T101">
        <v>2</v>
      </c>
      <c r="U101">
        <v>9</v>
      </c>
      <c r="V101">
        <v>8</v>
      </c>
      <c r="W101">
        <v>8</v>
      </c>
    </row>
    <row r="102" spans="1:23">
      <c r="A102">
        <v>251</v>
      </c>
      <c r="B102" t="s">
        <v>151</v>
      </c>
      <c r="C102" t="s">
        <v>162</v>
      </c>
      <c r="D102">
        <v>18</v>
      </c>
      <c r="E102" t="s">
        <v>40</v>
      </c>
      <c r="F102" t="s">
        <v>144</v>
      </c>
      <c r="G102" t="s">
        <v>145</v>
      </c>
      <c r="H102" t="s">
        <v>158</v>
      </c>
      <c r="I102" t="s">
        <v>100</v>
      </c>
      <c r="J102" t="s">
        <v>153</v>
      </c>
      <c r="K102" t="s">
        <v>147</v>
      </c>
      <c r="L102" t="s">
        <v>157</v>
      </c>
      <c r="M102">
        <v>1</v>
      </c>
      <c r="N102" t="s">
        <v>149</v>
      </c>
      <c r="O102" t="s">
        <v>149</v>
      </c>
      <c r="P102" t="s">
        <v>149</v>
      </c>
      <c r="Q102" t="s">
        <v>150</v>
      </c>
      <c r="R102" t="s">
        <v>150</v>
      </c>
      <c r="S102" t="s">
        <v>149</v>
      </c>
      <c r="T102">
        <v>0</v>
      </c>
      <c r="U102">
        <v>6</v>
      </c>
      <c r="V102">
        <v>8</v>
      </c>
      <c r="W102">
        <v>8</v>
      </c>
    </row>
    <row r="103" spans="1:23">
      <c r="A103">
        <v>248</v>
      </c>
      <c r="B103" t="s">
        <v>151</v>
      </c>
      <c r="C103" t="s">
        <v>162</v>
      </c>
      <c r="D103">
        <v>22</v>
      </c>
      <c r="E103" t="s">
        <v>40</v>
      </c>
      <c r="F103" t="s">
        <v>144</v>
      </c>
      <c r="G103" t="s">
        <v>145</v>
      </c>
      <c r="H103" t="s">
        <v>158</v>
      </c>
      <c r="I103" t="s">
        <v>146</v>
      </c>
      <c r="J103" t="s">
        <v>153</v>
      </c>
      <c r="K103" t="s">
        <v>153</v>
      </c>
      <c r="L103" t="s">
        <v>157</v>
      </c>
      <c r="M103">
        <v>3</v>
      </c>
      <c r="N103" t="s">
        <v>149</v>
      </c>
      <c r="O103" t="s">
        <v>149</v>
      </c>
      <c r="P103" t="s">
        <v>149</v>
      </c>
      <c r="Q103" t="s">
        <v>149</v>
      </c>
      <c r="R103" t="s">
        <v>150</v>
      </c>
      <c r="S103" t="s">
        <v>150</v>
      </c>
      <c r="T103">
        <v>16</v>
      </c>
      <c r="U103">
        <v>6</v>
      </c>
      <c r="V103">
        <v>8</v>
      </c>
      <c r="W103">
        <v>8</v>
      </c>
    </row>
    <row r="104" spans="1:23">
      <c r="A104">
        <v>277</v>
      </c>
      <c r="B104" t="s">
        <v>151</v>
      </c>
      <c r="C104" t="s">
        <v>143</v>
      </c>
      <c r="D104">
        <v>18</v>
      </c>
      <c r="E104" t="s">
        <v>41</v>
      </c>
      <c r="F104" t="s">
        <v>144</v>
      </c>
      <c r="G104" t="s">
        <v>155</v>
      </c>
      <c r="H104" t="s">
        <v>158</v>
      </c>
      <c r="I104" t="s">
        <v>100</v>
      </c>
      <c r="J104" t="s">
        <v>147</v>
      </c>
      <c r="K104" t="s">
        <v>153</v>
      </c>
      <c r="L104" t="s">
        <v>148</v>
      </c>
      <c r="M104">
        <v>0</v>
      </c>
      <c r="N104" t="s">
        <v>149</v>
      </c>
      <c r="O104" t="s">
        <v>149</v>
      </c>
      <c r="P104" t="s">
        <v>149</v>
      </c>
      <c r="Q104" t="s">
        <v>149</v>
      </c>
      <c r="R104" t="s">
        <v>150</v>
      </c>
      <c r="S104" t="s">
        <v>150</v>
      </c>
      <c r="T104">
        <v>75</v>
      </c>
      <c r="U104">
        <v>10</v>
      </c>
      <c r="V104">
        <v>9</v>
      </c>
      <c r="W104">
        <v>9</v>
      </c>
    </row>
    <row r="105" spans="1:23">
      <c r="A105">
        <v>128</v>
      </c>
      <c r="B105" t="s">
        <v>151</v>
      </c>
      <c r="C105" t="s">
        <v>143</v>
      </c>
      <c r="D105">
        <v>19</v>
      </c>
      <c r="E105" t="s">
        <v>40</v>
      </c>
      <c r="F105" t="s">
        <v>144</v>
      </c>
      <c r="G105" t="s">
        <v>145</v>
      </c>
      <c r="H105" t="s">
        <v>163</v>
      </c>
      <c r="I105" t="s">
        <v>146</v>
      </c>
      <c r="J105" t="s">
        <v>156</v>
      </c>
      <c r="K105" t="s">
        <v>147</v>
      </c>
      <c r="L105" t="s">
        <v>148</v>
      </c>
      <c r="M105">
        <v>3</v>
      </c>
      <c r="N105" t="s">
        <v>149</v>
      </c>
      <c r="O105" t="s">
        <v>149</v>
      </c>
      <c r="P105" t="s">
        <v>149</v>
      </c>
      <c r="Q105" t="s">
        <v>149</v>
      </c>
      <c r="R105" t="s">
        <v>149</v>
      </c>
      <c r="S105" t="s">
        <v>149</v>
      </c>
      <c r="T105">
        <v>2</v>
      </c>
      <c r="U105">
        <v>7</v>
      </c>
      <c r="V105">
        <v>8</v>
      </c>
      <c r="W105">
        <v>9</v>
      </c>
    </row>
    <row r="106" spans="1:23">
      <c r="A106">
        <v>371</v>
      </c>
      <c r="B106" t="s">
        <v>142</v>
      </c>
      <c r="C106" t="s">
        <v>143</v>
      </c>
      <c r="D106">
        <v>19</v>
      </c>
      <c r="E106" t="s">
        <v>40</v>
      </c>
      <c r="F106" t="s">
        <v>152</v>
      </c>
      <c r="G106" t="s">
        <v>145</v>
      </c>
      <c r="H106" t="s">
        <v>158</v>
      </c>
      <c r="I106" t="s">
        <v>100</v>
      </c>
      <c r="J106" t="s">
        <v>153</v>
      </c>
      <c r="K106" t="s">
        <v>153</v>
      </c>
      <c r="L106" t="s">
        <v>148</v>
      </c>
      <c r="M106">
        <v>2</v>
      </c>
      <c r="N106" t="s">
        <v>149</v>
      </c>
      <c r="O106" t="s">
        <v>149</v>
      </c>
      <c r="P106" t="s">
        <v>150</v>
      </c>
      <c r="Q106" t="s">
        <v>150</v>
      </c>
      <c r="R106" t="s">
        <v>149</v>
      </c>
      <c r="S106" t="s">
        <v>150</v>
      </c>
      <c r="T106">
        <v>4</v>
      </c>
      <c r="U106">
        <v>7</v>
      </c>
      <c r="V106">
        <v>7</v>
      </c>
      <c r="W106">
        <v>9</v>
      </c>
    </row>
    <row r="107" spans="1:23">
      <c r="A107">
        <v>322</v>
      </c>
      <c r="B107" t="s">
        <v>151</v>
      </c>
      <c r="C107" t="s">
        <v>143</v>
      </c>
      <c r="D107">
        <v>17</v>
      </c>
      <c r="E107" t="s">
        <v>40</v>
      </c>
      <c r="F107" t="s">
        <v>144</v>
      </c>
      <c r="G107" t="s">
        <v>145</v>
      </c>
      <c r="H107" t="s">
        <v>100</v>
      </c>
      <c r="I107" t="s">
        <v>100</v>
      </c>
      <c r="J107" t="s">
        <v>147</v>
      </c>
      <c r="K107" t="s">
        <v>147</v>
      </c>
      <c r="L107" t="s">
        <v>148</v>
      </c>
      <c r="M107">
        <v>0</v>
      </c>
      <c r="N107" t="s">
        <v>149</v>
      </c>
      <c r="O107" t="s">
        <v>149</v>
      </c>
      <c r="P107" t="s">
        <v>149</v>
      </c>
      <c r="Q107" t="s">
        <v>150</v>
      </c>
      <c r="R107" t="s">
        <v>149</v>
      </c>
      <c r="S107" t="s">
        <v>150</v>
      </c>
      <c r="T107">
        <v>12</v>
      </c>
      <c r="U107">
        <v>11</v>
      </c>
      <c r="V107">
        <v>9</v>
      </c>
      <c r="W107">
        <v>9</v>
      </c>
    </row>
    <row r="108" spans="1:23">
      <c r="A108">
        <v>11</v>
      </c>
      <c r="B108" t="s">
        <v>151</v>
      </c>
      <c r="C108" t="s">
        <v>143</v>
      </c>
      <c r="D108">
        <v>15</v>
      </c>
      <c r="E108" t="s">
        <v>40</v>
      </c>
      <c r="F108" t="s">
        <v>144</v>
      </c>
      <c r="G108" t="s">
        <v>145</v>
      </c>
      <c r="H108" t="s">
        <v>101</v>
      </c>
      <c r="I108" t="s">
        <v>101</v>
      </c>
      <c r="J108" t="s">
        <v>160</v>
      </c>
      <c r="K108" t="s">
        <v>159</v>
      </c>
      <c r="L108" t="s">
        <v>148</v>
      </c>
      <c r="M108">
        <v>0</v>
      </c>
      <c r="N108" t="s">
        <v>149</v>
      </c>
      <c r="O108" t="s">
        <v>150</v>
      </c>
      <c r="P108" t="s">
        <v>149</v>
      </c>
      <c r="Q108" t="s">
        <v>150</v>
      </c>
      <c r="R108" t="s">
        <v>150</v>
      </c>
      <c r="S108" t="s">
        <v>149</v>
      </c>
      <c r="T108">
        <v>0</v>
      </c>
      <c r="U108">
        <v>10</v>
      </c>
      <c r="V108">
        <v>8</v>
      </c>
      <c r="W108">
        <v>9</v>
      </c>
    </row>
    <row r="109" spans="1:23">
      <c r="A109">
        <v>189</v>
      </c>
      <c r="B109" t="s">
        <v>151</v>
      </c>
      <c r="C109" t="s">
        <v>143</v>
      </c>
      <c r="D109">
        <v>17</v>
      </c>
      <c r="E109" t="s">
        <v>40</v>
      </c>
      <c r="F109" t="s">
        <v>144</v>
      </c>
      <c r="G109" t="s">
        <v>155</v>
      </c>
      <c r="H109" t="s">
        <v>158</v>
      </c>
      <c r="I109" t="s">
        <v>158</v>
      </c>
      <c r="J109" t="s">
        <v>159</v>
      </c>
      <c r="K109" t="s">
        <v>147</v>
      </c>
      <c r="L109" t="s">
        <v>148</v>
      </c>
      <c r="M109">
        <v>0</v>
      </c>
      <c r="N109" t="s">
        <v>149</v>
      </c>
      <c r="O109" t="s">
        <v>149</v>
      </c>
      <c r="P109" t="s">
        <v>149</v>
      </c>
      <c r="Q109" t="s">
        <v>149</v>
      </c>
      <c r="R109" t="s">
        <v>150</v>
      </c>
      <c r="S109" t="s">
        <v>150</v>
      </c>
      <c r="T109">
        <v>6</v>
      </c>
      <c r="U109">
        <v>8</v>
      </c>
      <c r="V109">
        <v>7</v>
      </c>
      <c r="W109">
        <v>9</v>
      </c>
    </row>
    <row r="110" spans="1:23">
      <c r="A110">
        <v>264</v>
      </c>
      <c r="B110" t="s">
        <v>151</v>
      </c>
      <c r="C110" t="s">
        <v>143</v>
      </c>
      <c r="D110">
        <v>17</v>
      </c>
      <c r="E110" t="s">
        <v>40</v>
      </c>
      <c r="F110" t="s">
        <v>144</v>
      </c>
      <c r="G110" t="s">
        <v>145</v>
      </c>
      <c r="H110" t="s">
        <v>158</v>
      </c>
      <c r="I110" t="s">
        <v>158</v>
      </c>
      <c r="J110" t="s">
        <v>147</v>
      </c>
      <c r="K110" t="s">
        <v>147</v>
      </c>
      <c r="L110" t="s">
        <v>161</v>
      </c>
      <c r="M110">
        <v>0</v>
      </c>
      <c r="N110" t="s">
        <v>149</v>
      </c>
      <c r="O110" t="s">
        <v>149</v>
      </c>
      <c r="P110" t="s">
        <v>150</v>
      </c>
      <c r="Q110" t="s">
        <v>149</v>
      </c>
      <c r="R110" t="s">
        <v>149</v>
      </c>
      <c r="S110" t="s">
        <v>149</v>
      </c>
      <c r="T110">
        <v>4</v>
      </c>
      <c r="U110">
        <v>10</v>
      </c>
      <c r="V110">
        <v>9</v>
      </c>
      <c r="W110">
        <v>9</v>
      </c>
    </row>
    <row r="111" spans="1:23">
      <c r="A111">
        <v>45</v>
      </c>
      <c r="B111" t="s">
        <v>151</v>
      </c>
      <c r="C111" t="s">
        <v>143</v>
      </c>
      <c r="D111">
        <v>16</v>
      </c>
      <c r="E111" t="s">
        <v>40</v>
      </c>
      <c r="F111" t="s">
        <v>152</v>
      </c>
      <c r="G111" t="s">
        <v>145</v>
      </c>
      <c r="H111" t="s">
        <v>100</v>
      </c>
      <c r="I111" t="s">
        <v>100</v>
      </c>
      <c r="J111" t="s">
        <v>147</v>
      </c>
      <c r="K111" t="s">
        <v>156</v>
      </c>
      <c r="L111" t="s">
        <v>148</v>
      </c>
      <c r="M111">
        <v>1</v>
      </c>
      <c r="N111" t="s">
        <v>150</v>
      </c>
      <c r="O111" t="s">
        <v>149</v>
      </c>
      <c r="P111" t="s">
        <v>150</v>
      </c>
      <c r="Q111" t="s">
        <v>150</v>
      </c>
      <c r="R111" t="s">
        <v>150</v>
      </c>
      <c r="S111" t="s">
        <v>149</v>
      </c>
      <c r="T111">
        <v>14</v>
      </c>
      <c r="U111">
        <v>10</v>
      </c>
      <c r="V111">
        <v>10</v>
      </c>
      <c r="W111">
        <v>9</v>
      </c>
    </row>
    <row r="112" spans="1:23">
      <c r="A112">
        <v>63</v>
      </c>
      <c r="B112" t="s">
        <v>151</v>
      </c>
      <c r="C112" t="s">
        <v>143</v>
      </c>
      <c r="D112">
        <v>16</v>
      </c>
      <c r="E112" t="s">
        <v>40</v>
      </c>
      <c r="F112" t="s">
        <v>152</v>
      </c>
      <c r="G112" t="s">
        <v>145</v>
      </c>
      <c r="H112" t="s">
        <v>146</v>
      </c>
      <c r="I112" t="s">
        <v>100</v>
      </c>
      <c r="J112" t="s">
        <v>147</v>
      </c>
      <c r="K112" t="s">
        <v>153</v>
      </c>
      <c r="L112" t="s">
        <v>148</v>
      </c>
      <c r="M112">
        <v>0</v>
      </c>
      <c r="N112" t="s">
        <v>150</v>
      </c>
      <c r="O112" t="s">
        <v>149</v>
      </c>
      <c r="P112" t="s">
        <v>150</v>
      </c>
      <c r="Q112" t="s">
        <v>150</v>
      </c>
      <c r="R112" t="s">
        <v>150</v>
      </c>
      <c r="S112" t="s">
        <v>149</v>
      </c>
      <c r="T112">
        <v>4</v>
      </c>
      <c r="U112">
        <v>8</v>
      </c>
      <c r="V112">
        <v>10</v>
      </c>
      <c r="W112">
        <v>9</v>
      </c>
    </row>
    <row r="113" spans="1:23">
      <c r="A113">
        <v>206</v>
      </c>
      <c r="B113" t="s">
        <v>151</v>
      </c>
      <c r="C113" t="s">
        <v>143</v>
      </c>
      <c r="D113">
        <v>17</v>
      </c>
      <c r="E113" t="s">
        <v>40</v>
      </c>
      <c r="F113" t="s">
        <v>144</v>
      </c>
      <c r="G113" t="s">
        <v>145</v>
      </c>
      <c r="H113" t="s">
        <v>158</v>
      </c>
      <c r="I113" t="s">
        <v>101</v>
      </c>
      <c r="J113" t="s">
        <v>156</v>
      </c>
      <c r="K113" t="s">
        <v>153</v>
      </c>
      <c r="L113" t="s">
        <v>161</v>
      </c>
      <c r="M113">
        <v>1</v>
      </c>
      <c r="N113" t="s">
        <v>149</v>
      </c>
      <c r="O113" t="s">
        <v>150</v>
      </c>
      <c r="P113" t="s">
        <v>149</v>
      </c>
      <c r="Q113" t="s">
        <v>150</v>
      </c>
      <c r="R113" t="s">
        <v>150</v>
      </c>
      <c r="S113" t="s">
        <v>150</v>
      </c>
      <c r="T113">
        <v>28</v>
      </c>
      <c r="U113">
        <v>10</v>
      </c>
      <c r="V113">
        <v>9</v>
      </c>
      <c r="W113">
        <v>9</v>
      </c>
    </row>
    <row r="114" spans="1:23">
      <c r="A114">
        <v>192</v>
      </c>
      <c r="B114" t="s">
        <v>151</v>
      </c>
      <c r="C114" t="s">
        <v>143</v>
      </c>
      <c r="D114">
        <v>17</v>
      </c>
      <c r="E114" t="s">
        <v>40</v>
      </c>
      <c r="F114" t="s">
        <v>144</v>
      </c>
      <c r="G114" t="s">
        <v>145</v>
      </c>
      <c r="H114" t="s">
        <v>146</v>
      </c>
      <c r="I114" t="s">
        <v>146</v>
      </c>
      <c r="J114" t="s">
        <v>156</v>
      </c>
      <c r="K114" t="s">
        <v>153</v>
      </c>
      <c r="L114" t="s">
        <v>148</v>
      </c>
      <c r="M114">
        <v>0</v>
      </c>
      <c r="N114" t="s">
        <v>149</v>
      </c>
      <c r="O114" t="s">
        <v>149</v>
      </c>
      <c r="P114" t="s">
        <v>150</v>
      </c>
      <c r="Q114" t="s">
        <v>150</v>
      </c>
      <c r="R114" t="s">
        <v>150</v>
      </c>
      <c r="S114" t="s">
        <v>149</v>
      </c>
      <c r="T114">
        <v>0</v>
      </c>
      <c r="U114">
        <v>8</v>
      </c>
      <c r="V114">
        <v>8</v>
      </c>
      <c r="W114">
        <v>9</v>
      </c>
    </row>
    <row r="115" spans="1:23">
      <c r="A115">
        <v>64</v>
      </c>
      <c r="B115" t="s">
        <v>151</v>
      </c>
      <c r="C115" t="s">
        <v>143</v>
      </c>
      <c r="D115">
        <v>16</v>
      </c>
      <c r="E115" t="s">
        <v>40</v>
      </c>
      <c r="F115" t="s">
        <v>144</v>
      </c>
      <c r="G115" t="s">
        <v>145</v>
      </c>
      <c r="H115" t="s">
        <v>101</v>
      </c>
      <c r="I115" t="s">
        <v>158</v>
      </c>
      <c r="J115" t="s">
        <v>160</v>
      </c>
      <c r="K115" t="s">
        <v>159</v>
      </c>
      <c r="L115" t="s">
        <v>161</v>
      </c>
      <c r="M115">
        <v>0</v>
      </c>
      <c r="N115" t="s">
        <v>150</v>
      </c>
      <c r="O115" t="s">
        <v>150</v>
      </c>
      <c r="P115" t="s">
        <v>150</v>
      </c>
      <c r="Q115" t="s">
        <v>150</v>
      </c>
      <c r="R115" t="s">
        <v>150</v>
      </c>
      <c r="S115" t="s">
        <v>149</v>
      </c>
      <c r="T115">
        <v>2</v>
      </c>
      <c r="U115">
        <v>10</v>
      </c>
      <c r="V115">
        <v>9</v>
      </c>
      <c r="W115">
        <v>9</v>
      </c>
    </row>
    <row r="116" spans="1:23">
      <c r="A116">
        <v>318</v>
      </c>
      <c r="B116" t="s">
        <v>151</v>
      </c>
      <c r="C116" t="s">
        <v>143</v>
      </c>
      <c r="D116">
        <v>18</v>
      </c>
      <c r="E116" t="s">
        <v>40</v>
      </c>
      <c r="F116" t="s">
        <v>144</v>
      </c>
      <c r="G116" t="s">
        <v>145</v>
      </c>
      <c r="H116" t="s">
        <v>101</v>
      </c>
      <c r="I116" t="s">
        <v>158</v>
      </c>
      <c r="J116" t="s">
        <v>147</v>
      </c>
      <c r="K116" t="s">
        <v>147</v>
      </c>
      <c r="L116" t="s">
        <v>161</v>
      </c>
      <c r="M116">
        <v>0</v>
      </c>
      <c r="N116" t="s">
        <v>149</v>
      </c>
      <c r="O116" t="s">
        <v>150</v>
      </c>
      <c r="P116" t="s">
        <v>150</v>
      </c>
      <c r="Q116" t="s">
        <v>150</v>
      </c>
      <c r="R116" t="s">
        <v>150</v>
      </c>
      <c r="S116" t="s">
        <v>150</v>
      </c>
      <c r="T116">
        <v>9</v>
      </c>
      <c r="U116">
        <v>9</v>
      </c>
      <c r="V116">
        <v>10</v>
      </c>
      <c r="W116">
        <v>9</v>
      </c>
    </row>
    <row r="117" spans="1:23">
      <c r="A117">
        <v>329</v>
      </c>
      <c r="B117" t="s">
        <v>151</v>
      </c>
      <c r="C117" t="s">
        <v>143</v>
      </c>
      <c r="D117">
        <v>17</v>
      </c>
      <c r="E117" t="s">
        <v>40</v>
      </c>
      <c r="F117" t="s">
        <v>144</v>
      </c>
      <c r="G117" t="s">
        <v>145</v>
      </c>
      <c r="H117" t="s">
        <v>101</v>
      </c>
      <c r="I117" t="s">
        <v>101</v>
      </c>
      <c r="J117" t="s">
        <v>160</v>
      </c>
      <c r="K117" t="s">
        <v>153</v>
      </c>
      <c r="L117" t="s">
        <v>161</v>
      </c>
      <c r="M117">
        <v>0</v>
      </c>
      <c r="N117" t="s">
        <v>149</v>
      </c>
      <c r="O117" t="s">
        <v>150</v>
      </c>
      <c r="P117" t="s">
        <v>150</v>
      </c>
      <c r="Q117" t="s">
        <v>150</v>
      </c>
      <c r="R117" t="s">
        <v>150</v>
      </c>
      <c r="S117" t="s">
        <v>149</v>
      </c>
      <c r="T117">
        <v>7</v>
      </c>
      <c r="U117">
        <v>10</v>
      </c>
      <c r="V117">
        <v>9</v>
      </c>
      <c r="W117">
        <v>9</v>
      </c>
    </row>
    <row r="118" spans="1:23">
      <c r="A118">
        <v>356</v>
      </c>
      <c r="B118" t="s">
        <v>142</v>
      </c>
      <c r="C118" t="s">
        <v>143</v>
      </c>
      <c r="D118">
        <v>18</v>
      </c>
      <c r="E118" t="s">
        <v>40</v>
      </c>
      <c r="F118" t="s">
        <v>144</v>
      </c>
      <c r="G118" t="s">
        <v>145</v>
      </c>
      <c r="H118" t="s">
        <v>158</v>
      </c>
      <c r="I118" t="s">
        <v>158</v>
      </c>
      <c r="J118" t="s">
        <v>153</v>
      </c>
      <c r="K118" t="s">
        <v>153</v>
      </c>
      <c r="L118" t="s">
        <v>148</v>
      </c>
      <c r="M118">
        <v>0</v>
      </c>
      <c r="N118" t="s">
        <v>149</v>
      </c>
      <c r="O118" t="s">
        <v>149</v>
      </c>
      <c r="P118" t="s">
        <v>149</v>
      </c>
      <c r="Q118" t="s">
        <v>150</v>
      </c>
      <c r="R118" t="s">
        <v>149</v>
      </c>
      <c r="S118" t="s">
        <v>150</v>
      </c>
      <c r="T118">
        <v>0</v>
      </c>
      <c r="U118">
        <v>10</v>
      </c>
      <c r="V118">
        <v>9</v>
      </c>
      <c r="W118">
        <v>9</v>
      </c>
    </row>
    <row r="119" spans="1:23">
      <c r="A119">
        <v>175</v>
      </c>
      <c r="B119" t="s">
        <v>151</v>
      </c>
      <c r="C119" t="s">
        <v>143</v>
      </c>
      <c r="D119">
        <v>16</v>
      </c>
      <c r="E119" t="s">
        <v>40</v>
      </c>
      <c r="F119" t="s">
        <v>152</v>
      </c>
      <c r="G119" t="s">
        <v>145</v>
      </c>
      <c r="H119" t="s">
        <v>158</v>
      </c>
      <c r="I119" t="s">
        <v>158</v>
      </c>
      <c r="J119" t="s">
        <v>147</v>
      </c>
      <c r="K119" t="s">
        <v>147</v>
      </c>
      <c r="L119" t="s">
        <v>148</v>
      </c>
      <c r="M119">
        <v>0</v>
      </c>
      <c r="N119" t="s">
        <v>149</v>
      </c>
      <c r="O119" t="s">
        <v>150</v>
      </c>
      <c r="P119" t="s">
        <v>150</v>
      </c>
      <c r="Q119" t="s">
        <v>150</v>
      </c>
      <c r="R119" t="s">
        <v>150</v>
      </c>
      <c r="S119" t="s">
        <v>149</v>
      </c>
      <c r="T119">
        <v>4</v>
      </c>
      <c r="U119">
        <v>10</v>
      </c>
      <c r="V119">
        <v>11</v>
      </c>
      <c r="W119">
        <v>9</v>
      </c>
    </row>
    <row r="120" spans="1:23">
      <c r="A120">
        <v>271</v>
      </c>
      <c r="B120" t="s">
        <v>151</v>
      </c>
      <c r="C120" t="s">
        <v>143</v>
      </c>
      <c r="D120">
        <v>19</v>
      </c>
      <c r="E120" t="s">
        <v>40</v>
      </c>
      <c r="F120" t="s">
        <v>144</v>
      </c>
      <c r="G120" t="s">
        <v>145</v>
      </c>
      <c r="H120" t="s">
        <v>158</v>
      </c>
      <c r="I120" t="s">
        <v>158</v>
      </c>
      <c r="J120" t="s">
        <v>147</v>
      </c>
      <c r="K120" t="s">
        <v>153</v>
      </c>
      <c r="L120" t="s">
        <v>148</v>
      </c>
      <c r="M120">
        <v>2</v>
      </c>
      <c r="N120" t="s">
        <v>149</v>
      </c>
      <c r="O120" t="s">
        <v>150</v>
      </c>
      <c r="P120" t="s">
        <v>150</v>
      </c>
      <c r="Q120" t="s">
        <v>150</v>
      </c>
      <c r="R120" t="s">
        <v>150</v>
      </c>
      <c r="S120" t="s">
        <v>149</v>
      </c>
      <c r="T120">
        <v>15</v>
      </c>
      <c r="U120">
        <v>9</v>
      </c>
      <c r="V120">
        <v>9</v>
      </c>
      <c r="W120">
        <v>9</v>
      </c>
    </row>
    <row r="121" spans="1:23">
      <c r="A121">
        <v>229</v>
      </c>
      <c r="B121" t="s">
        <v>151</v>
      </c>
      <c r="C121" t="s">
        <v>162</v>
      </c>
      <c r="D121">
        <v>18</v>
      </c>
      <c r="E121" t="s">
        <v>40</v>
      </c>
      <c r="F121" t="s">
        <v>152</v>
      </c>
      <c r="G121" t="s">
        <v>145</v>
      </c>
      <c r="H121" t="s">
        <v>100</v>
      </c>
      <c r="I121" t="s">
        <v>146</v>
      </c>
      <c r="J121" t="s">
        <v>156</v>
      </c>
      <c r="K121" t="s">
        <v>147</v>
      </c>
      <c r="L121" t="s">
        <v>148</v>
      </c>
      <c r="M121">
        <v>0</v>
      </c>
      <c r="N121" t="s">
        <v>150</v>
      </c>
      <c r="O121" t="s">
        <v>150</v>
      </c>
      <c r="P121" t="s">
        <v>150</v>
      </c>
      <c r="Q121" t="s">
        <v>150</v>
      </c>
      <c r="R121" t="s">
        <v>150</v>
      </c>
      <c r="S121" t="s">
        <v>150</v>
      </c>
      <c r="T121">
        <v>14</v>
      </c>
      <c r="U121">
        <v>10</v>
      </c>
      <c r="V121">
        <v>8</v>
      </c>
      <c r="W121">
        <v>9</v>
      </c>
    </row>
    <row r="122" spans="1:23">
      <c r="A122">
        <v>59</v>
      </c>
      <c r="B122" t="s">
        <v>151</v>
      </c>
      <c r="C122" t="s">
        <v>162</v>
      </c>
      <c r="D122">
        <v>15</v>
      </c>
      <c r="E122" t="s">
        <v>40</v>
      </c>
      <c r="F122" t="s">
        <v>152</v>
      </c>
      <c r="G122" t="s">
        <v>145</v>
      </c>
      <c r="H122" t="s">
        <v>146</v>
      </c>
      <c r="I122" t="s">
        <v>100</v>
      </c>
      <c r="J122" t="s">
        <v>147</v>
      </c>
      <c r="K122" t="s">
        <v>156</v>
      </c>
      <c r="L122" t="s">
        <v>148</v>
      </c>
      <c r="M122">
        <v>0</v>
      </c>
      <c r="N122" t="s">
        <v>150</v>
      </c>
      <c r="O122" t="s">
        <v>149</v>
      </c>
      <c r="P122" t="s">
        <v>150</v>
      </c>
      <c r="Q122" t="s">
        <v>150</v>
      </c>
      <c r="R122" t="s">
        <v>150</v>
      </c>
      <c r="S122" t="s">
        <v>149</v>
      </c>
      <c r="T122">
        <v>2</v>
      </c>
      <c r="U122">
        <v>9</v>
      </c>
      <c r="V122">
        <v>10</v>
      </c>
      <c r="W122">
        <v>9</v>
      </c>
    </row>
    <row r="123" spans="1:23">
      <c r="A123">
        <v>115</v>
      </c>
      <c r="B123" t="s">
        <v>151</v>
      </c>
      <c r="C123" t="s">
        <v>162</v>
      </c>
      <c r="D123">
        <v>15</v>
      </c>
      <c r="E123" t="s">
        <v>41</v>
      </c>
      <c r="F123" t="s">
        <v>144</v>
      </c>
      <c r="G123" t="s">
        <v>145</v>
      </c>
      <c r="H123" t="s">
        <v>100</v>
      </c>
      <c r="I123" t="s">
        <v>146</v>
      </c>
      <c r="J123" t="s">
        <v>159</v>
      </c>
      <c r="K123" t="s">
        <v>153</v>
      </c>
      <c r="L123" t="s">
        <v>148</v>
      </c>
      <c r="M123">
        <v>0</v>
      </c>
      <c r="N123" t="s">
        <v>149</v>
      </c>
      <c r="O123" t="s">
        <v>149</v>
      </c>
      <c r="P123" t="s">
        <v>150</v>
      </c>
      <c r="Q123" t="s">
        <v>150</v>
      </c>
      <c r="R123" t="s">
        <v>150</v>
      </c>
      <c r="S123" t="s">
        <v>150</v>
      </c>
      <c r="T123">
        <v>8</v>
      </c>
      <c r="U123">
        <v>9</v>
      </c>
      <c r="V123">
        <v>9</v>
      </c>
      <c r="W123">
        <v>9</v>
      </c>
    </row>
    <row r="124" spans="1:23">
      <c r="A124">
        <v>142</v>
      </c>
      <c r="B124" t="s">
        <v>151</v>
      </c>
      <c r="C124" t="s">
        <v>162</v>
      </c>
      <c r="D124">
        <v>16</v>
      </c>
      <c r="E124" t="s">
        <v>40</v>
      </c>
      <c r="F124" t="s">
        <v>152</v>
      </c>
      <c r="G124" t="s">
        <v>145</v>
      </c>
      <c r="H124" t="s">
        <v>100</v>
      </c>
      <c r="I124" t="s">
        <v>100</v>
      </c>
      <c r="J124" t="s">
        <v>153</v>
      </c>
      <c r="K124" t="s">
        <v>153</v>
      </c>
      <c r="L124" t="s">
        <v>157</v>
      </c>
      <c r="M124">
        <v>2</v>
      </c>
      <c r="N124" t="s">
        <v>149</v>
      </c>
      <c r="O124" t="s">
        <v>149</v>
      </c>
      <c r="P124" t="s">
        <v>150</v>
      </c>
      <c r="Q124" t="s">
        <v>150</v>
      </c>
      <c r="R124" t="s">
        <v>150</v>
      </c>
      <c r="S124" t="s">
        <v>149</v>
      </c>
      <c r="T124">
        <v>8</v>
      </c>
      <c r="U124">
        <v>9</v>
      </c>
      <c r="V124">
        <v>9</v>
      </c>
      <c r="W124">
        <v>9</v>
      </c>
    </row>
    <row r="125" spans="1:23">
      <c r="A125">
        <v>395</v>
      </c>
      <c r="B125" t="s">
        <v>142</v>
      </c>
      <c r="C125" t="s">
        <v>162</v>
      </c>
      <c r="D125">
        <v>19</v>
      </c>
      <c r="E125" t="s">
        <v>40</v>
      </c>
      <c r="F125" t="s">
        <v>152</v>
      </c>
      <c r="G125" t="s">
        <v>145</v>
      </c>
      <c r="H125" t="s">
        <v>146</v>
      </c>
      <c r="I125" t="s">
        <v>146</v>
      </c>
      <c r="J125" t="s">
        <v>147</v>
      </c>
      <c r="K125" t="s">
        <v>156</v>
      </c>
      <c r="L125" t="s">
        <v>157</v>
      </c>
      <c r="M125">
        <v>0</v>
      </c>
      <c r="N125" t="s">
        <v>149</v>
      </c>
      <c r="O125" t="s">
        <v>149</v>
      </c>
      <c r="P125" t="s">
        <v>149</v>
      </c>
      <c r="Q125" t="s">
        <v>150</v>
      </c>
      <c r="R125" t="s">
        <v>150</v>
      </c>
      <c r="S125" t="s">
        <v>149</v>
      </c>
      <c r="T125">
        <v>5</v>
      </c>
      <c r="U125">
        <v>8</v>
      </c>
      <c r="V125">
        <v>9</v>
      </c>
      <c r="W125">
        <v>9</v>
      </c>
    </row>
    <row r="126" spans="1:23">
      <c r="A126">
        <v>179</v>
      </c>
      <c r="B126" t="s">
        <v>151</v>
      </c>
      <c r="C126" t="s">
        <v>162</v>
      </c>
      <c r="D126">
        <v>16</v>
      </c>
      <c r="E126" t="s">
        <v>41</v>
      </c>
      <c r="F126" t="s">
        <v>144</v>
      </c>
      <c r="G126" t="s">
        <v>145</v>
      </c>
      <c r="H126" t="s">
        <v>101</v>
      </c>
      <c r="I126" t="s">
        <v>100</v>
      </c>
      <c r="J126" t="s">
        <v>160</v>
      </c>
      <c r="K126" t="s">
        <v>153</v>
      </c>
      <c r="L126" t="s">
        <v>157</v>
      </c>
      <c r="M126">
        <v>0</v>
      </c>
      <c r="N126" t="s">
        <v>149</v>
      </c>
      <c r="O126" t="s">
        <v>149</v>
      </c>
      <c r="P126" t="s">
        <v>150</v>
      </c>
      <c r="Q126" t="s">
        <v>150</v>
      </c>
      <c r="R126" t="s">
        <v>150</v>
      </c>
      <c r="S126" t="s">
        <v>150</v>
      </c>
      <c r="T126">
        <v>10</v>
      </c>
      <c r="U126">
        <v>10</v>
      </c>
      <c r="V126">
        <v>8</v>
      </c>
      <c r="W126">
        <v>9</v>
      </c>
    </row>
    <row r="127" spans="1:23">
      <c r="A127">
        <v>278</v>
      </c>
      <c r="B127" t="s">
        <v>151</v>
      </c>
      <c r="C127" t="s">
        <v>162</v>
      </c>
      <c r="D127">
        <v>18</v>
      </c>
      <c r="E127" t="s">
        <v>40</v>
      </c>
      <c r="F127" t="s">
        <v>144</v>
      </c>
      <c r="G127" t="s">
        <v>145</v>
      </c>
      <c r="H127" t="s">
        <v>101</v>
      </c>
      <c r="I127" t="s">
        <v>101</v>
      </c>
      <c r="J127" t="s">
        <v>160</v>
      </c>
      <c r="K127" t="s">
        <v>153</v>
      </c>
      <c r="L127" t="s">
        <v>157</v>
      </c>
      <c r="M127">
        <v>0</v>
      </c>
      <c r="N127" t="s">
        <v>149</v>
      </c>
      <c r="O127" t="s">
        <v>150</v>
      </c>
      <c r="P127" t="s">
        <v>150</v>
      </c>
      <c r="Q127" t="s">
        <v>150</v>
      </c>
      <c r="R127" t="s">
        <v>150</v>
      </c>
      <c r="S127" t="s">
        <v>149</v>
      </c>
      <c r="T127">
        <v>22</v>
      </c>
      <c r="U127">
        <v>9</v>
      </c>
      <c r="V127">
        <v>9</v>
      </c>
      <c r="W127">
        <v>9</v>
      </c>
    </row>
    <row r="128" spans="1:23">
      <c r="A128">
        <v>176</v>
      </c>
      <c r="B128" t="s">
        <v>151</v>
      </c>
      <c r="C128" t="s">
        <v>162</v>
      </c>
      <c r="D128">
        <v>17</v>
      </c>
      <c r="E128" t="s">
        <v>40</v>
      </c>
      <c r="F128" t="s">
        <v>152</v>
      </c>
      <c r="G128" t="s">
        <v>145</v>
      </c>
      <c r="H128" t="s">
        <v>101</v>
      </c>
      <c r="I128" t="s">
        <v>158</v>
      </c>
      <c r="J128" t="s">
        <v>160</v>
      </c>
      <c r="K128" t="s">
        <v>147</v>
      </c>
      <c r="L128" t="s">
        <v>148</v>
      </c>
      <c r="M128">
        <v>0</v>
      </c>
      <c r="N128" t="s">
        <v>149</v>
      </c>
      <c r="O128" t="s">
        <v>150</v>
      </c>
      <c r="P128" t="s">
        <v>150</v>
      </c>
      <c r="Q128" t="s">
        <v>150</v>
      </c>
      <c r="R128" t="s">
        <v>150</v>
      </c>
      <c r="S128" t="s">
        <v>149</v>
      </c>
      <c r="T128">
        <v>4</v>
      </c>
      <c r="U128">
        <v>10</v>
      </c>
      <c r="V128">
        <v>9</v>
      </c>
      <c r="W128">
        <v>9</v>
      </c>
    </row>
    <row r="129" spans="1:23">
      <c r="A129">
        <v>391</v>
      </c>
      <c r="B129" t="s">
        <v>142</v>
      </c>
      <c r="C129" t="s">
        <v>162</v>
      </c>
      <c r="D129">
        <v>20</v>
      </c>
      <c r="E129" t="s">
        <v>40</v>
      </c>
      <c r="F129" t="s">
        <v>152</v>
      </c>
      <c r="G129" t="s">
        <v>155</v>
      </c>
      <c r="H129" t="s">
        <v>100</v>
      </c>
      <c r="I129" t="s">
        <v>100</v>
      </c>
      <c r="J129" t="s">
        <v>153</v>
      </c>
      <c r="K129" t="s">
        <v>153</v>
      </c>
      <c r="L129" t="s">
        <v>148</v>
      </c>
      <c r="M129">
        <v>2</v>
      </c>
      <c r="N129" t="s">
        <v>149</v>
      </c>
      <c r="O129" t="s">
        <v>150</v>
      </c>
      <c r="P129" t="s">
        <v>149</v>
      </c>
      <c r="Q129" t="s">
        <v>150</v>
      </c>
      <c r="R129" t="s">
        <v>149</v>
      </c>
      <c r="S129" t="s">
        <v>149</v>
      </c>
      <c r="T129">
        <v>11</v>
      </c>
      <c r="U129">
        <v>9</v>
      </c>
      <c r="V129">
        <v>9</v>
      </c>
      <c r="W129">
        <v>9</v>
      </c>
    </row>
    <row r="130" spans="1:23">
      <c r="A130">
        <v>233</v>
      </c>
      <c r="B130" t="s">
        <v>151</v>
      </c>
      <c r="C130" t="s">
        <v>162</v>
      </c>
      <c r="D130">
        <v>17</v>
      </c>
      <c r="E130" t="s">
        <v>40</v>
      </c>
      <c r="F130" t="s">
        <v>144</v>
      </c>
      <c r="G130" t="s">
        <v>145</v>
      </c>
      <c r="H130" t="s">
        <v>101</v>
      </c>
      <c r="I130" t="s">
        <v>101</v>
      </c>
      <c r="J130" t="s">
        <v>160</v>
      </c>
      <c r="K130" t="s">
        <v>160</v>
      </c>
      <c r="L130" t="s">
        <v>148</v>
      </c>
      <c r="M130">
        <v>0</v>
      </c>
      <c r="N130" t="s">
        <v>150</v>
      </c>
      <c r="O130" t="s">
        <v>149</v>
      </c>
      <c r="P130" t="s">
        <v>150</v>
      </c>
      <c r="Q130" t="s">
        <v>150</v>
      </c>
      <c r="R130" t="s">
        <v>150</v>
      </c>
      <c r="S130" t="s">
        <v>150</v>
      </c>
      <c r="T130">
        <v>14</v>
      </c>
      <c r="U130">
        <v>11</v>
      </c>
      <c r="V130">
        <v>9</v>
      </c>
      <c r="W130">
        <v>9</v>
      </c>
    </row>
    <row r="131" spans="1:23">
      <c r="A131">
        <v>348</v>
      </c>
      <c r="B131" t="s">
        <v>151</v>
      </c>
      <c r="C131" t="s">
        <v>162</v>
      </c>
      <c r="D131">
        <v>18</v>
      </c>
      <c r="E131" t="s">
        <v>40</v>
      </c>
      <c r="F131" t="s">
        <v>144</v>
      </c>
      <c r="G131" t="s">
        <v>145</v>
      </c>
      <c r="H131" t="s">
        <v>101</v>
      </c>
      <c r="I131" t="s">
        <v>158</v>
      </c>
      <c r="J131" t="s">
        <v>160</v>
      </c>
      <c r="K131" t="s">
        <v>147</v>
      </c>
      <c r="L131" t="s">
        <v>161</v>
      </c>
      <c r="M131">
        <v>0</v>
      </c>
      <c r="N131" t="s">
        <v>149</v>
      </c>
      <c r="O131" t="s">
        <v>150</v>
      </c>
      <c r="P131" t="s">
        <v>149</v>
      </c>
      <c r="Q131" t="s">
        <v>150</v>
      </c>
      <c r="R131" t="s">
        <v>150</v>
      </c>
      <c r="S131" t="s">
        <v>150</v>
      </c>
      <c r="T131">
        <v>0</v>
      </c>
      <c r="U131">
        <v>10</v>
      </c>
      <c r="V131">
        <v>10</v>
      </c>
      <c r="W131">
        <v>9</v>
      </c>
    </row>
    <row r="132" spans="1:23">
      <c r="A132">
        <v>153</v>
      </c>
      <c r="B132" t="s">
        <v>151</v>
      </c>
      <c r="C132" t="s">
        <v>143</v>
      </c>
      <c r="D132">
        <v>15</v>
      </c>
      <c r="E132" t="s">
        <v>41</v>
      </c>
      <c r="F132" t="s">
        <v>144</v>
      </c>
      <c r="G132" t="s">
        <v>145</v>
      </c>
      <c r="H132" t="s">
        <v>158</v>
      </c>
      <c r="I132" t="s">
        <v>158</v>
      </c>
      <c r="J132" t="s">
        <v>153</v>
      </c>
      <c r="K132" t="s">
        <v>153</v>
      </c>
      <c r="L132" t="s">
        <v>161</v>
      </c>
      <c r="M132">
        <v>2</v>
      </c>
      <c r="N132" t="s">
        <v>149</v>
      </c>
      <c r="O132" t="s">
        <v>150</v>
      </c>
      <c r="P132" t="s">
        <v>150</v>
      </c>
      <c r="Q132" t="s">
        <v>150</v>
      </c>
      <c r="R132" t="s">
        <v>150</v>
      </c>
      <c r="S132" t="s">
        <v>150</v>
      </c>
      <c r="T132">
        <v>8</v>
      </c>
      <c r="U132">
        <v>10</v>
      </c>
      <c r="V132">
        <v>10</v>
      </c>
      <c r="W132">
        <v>10</v>
      </c>
    </row>
    <row r="133" spans="1:23">
      <c r="A133">
        <v>215</v>
      </c>
      <c r="B133" t="s">
        <v>151</v>
      </c>
      <c r="C133" t="s">
        <v>143</v>
      </c>
      <c r="D133">
        <v>17</v>
      </c>
      <c r="E133" t="s">
        <v>41</v>
      </c>
      <c r="F133" t="s">
        <v>152</v>
      </c>
      <c r="G133" t="s">
        <v>145</v>
      </c>
      <c r="H133" t="s">
        <v>101</v>
      </c>
      <c r="I133" t="s">
        <v>101</v>
      </c>
      <c r="J133" t="s">
        <v>153</v>
      </c>
      <c r="K133" t="s">
        <v>147</v>
      </c>
      <c r="L133" t="s">
        <v>157</v>
      </c>
      <c r="M133">
        <v>0</v>
      </c>
      <c r="N133" t="s">
        <v>149</v>
      </c>
      <c r="O133" t="s">
        <v>150</v>
      </c>
      <c r="P133" t="s">
        <v>149</v>
      </c>
      <c r="Q133" t="s">
        <v>150</v>
      </c>
      <c r="R133" t="s">
        <v>149</v>
      </c>
      <c r="S133" t="s">
        <v>149</v>
      </c>
      <c r="T133">
        <v>12</v>
      </c>
      <c r="U133">
        <v>8</v>
      </c>
      <c r="V133">
        <v>10</v>
      </c>
      <c r="W133">
        <v>10</v>
      </c>
    </row>
    <row r="134" spans="1:23">
      <c r="A134">
        <v>96</v>
      </c>
      <c r="B134" t="s">
        <v>151</v>
      </c>
      <c r="C134" t="s">
        <v>143</v>
      </c>
      <c r="D134">
        <v>15</v>
      </c>
      <c r="E134" t="s">
        <v>41</v>
      </c>
      <c r="F134" t="s">
        <v>144</v>
      </c>
      <c r="G134" t="s">
        <v>145</v>
      </c>
      <c r="H134" t="s">
        <v>146</v>
      </c>
      <c r="I134" t="s">
        <v>146</v>
      </c>
      <c r="J134" t="s">
        <v>156</v>
      </c>
      <c r="K134" t="s">
        <v>147</v>
      </c>
      <c r="L134" t="s">
        <v>154</v>
      </c>
      <c r="M134">
        <v>1</v>
      </c>
      <c r="N134" t="s">
        <v>150</v>
      </c>
      <c r="O134" t="s">
        <v>150</v>
      </c>
      <c r="P134" t="s">
        <v>150</v>
      </c>
      <c r="Q134" t="s">
        <v>150</v>
      </c>
      <c r="R134" t="s">
        <v>150</v>
      </c>
      <c r="S134" t="s">
        <v>149</v>
      </c>
      <c r="T134">
        <v>2</v>
      </c>
      <c r="U134">
        <v>7</v>
      </c>
      <c r="V134">
        <v>10</v>
      </c>
      <c r="W134">
        <v>10</v>
      </c>
    </row>
    <row r="135" spans="1:23">
      <c r="A135">
        <v>200</v>
      </c>
      <c r="B135" t="s">
        <v>151</v>
      </c>
      <c r="C135" t="s">
        <v>143</v>
      </c>
      <c r="D135">
        <v>16</v>
      </c>
      <c r="E135" t="s">
        <v>40</v>
      </c>
      <c r="F135" t="s">
        <v>152</v>
      </c>
      <c r="G135" t="s">
        <v>145</v>
      </c>
      <c r="H135" t="s">
        <v>101</v>
      </c>
      <c r="I135" t="s">
        <v>101</v>
      </c>
      <c r="J135" t="s">
        <v>160</v>
      </c>
      <c r="K135" t="s">
        <v>160</v>
      </c>
      <c r="L135" t="s">
        <v>148</v>
      </c>
      <c r="M135">
        <v>0</v>
      </c>
      <c r="N135" t="s">
        <v>149</v>
      </c>
      <c r="O135" t="s">
        <v>150</v>
      </c>
      <c r="P135" t="s">
        <v>149</v>
      </c>
      <c r="Q135" t="s">
        <v>150</v>
      </c>
      <c r="R135" t="s">
        <v>150</v>
      </c>
      <c r="S135" t="s">
        <v>149</v>
      </c>
      <c r="T135">
        <v>0</v>
      </c>
      <c r="U135">
        <v>9</v>
      </c>
      <c r="V135">
        <v>9</v>
      </c>
      <c r="W135">
        <v>10</v>
      </c>
    </row>
    <row r="136" spans="1:23">
      <c r="A136">
        <v>3</v>
      </c>
      <c r="B136" t="s">
        <v>151</v>
      </c>
      <c r="C136" t="s">
        <v>143</v>
      </c>
      <c r="D136">
        <v>15</v>
      </c>
      <c r="E136" t="s">
        <v>40</v>
      </c>
      <c r="F136" t="s">
        <v>152</v>
      </c>
      <c r="G136" t="s">
        <v>145</v>
      </c>
      <c r="H136" t="s">
        <v>146</v>
      </c>
      <c r="I136" t="s">
        <v>146</v>
      </c>
      <c r="J136" t="s">
        <v>156</v>
      </c>
      <c r="K136" t="s">
        <v>147</v>
      </c>
      <c r="L136" t="s">
        <v>148</v>
      </c>
      <c r="M136">
        <v>3</v>
      </c>
      <c r="N136" t="s">
        <v>150</v>
      </c>
      <c r="O136" t="s">
        <v>150</v>
      </c>
      <c r="P136" t="s">
        <v>149</v>
      </c>
      <c r="Q136" t="s">
        <v>150</v>
      </c>
      <c r="R136" t="s">
        <v>150</v>
      </c>
      <c r="S136" t="s">
        <v>149</v>
      </c>
      <c r="T136">
        <v>10</v>
      </c>
      <c r="U136">
        <v>7</v>
      </c>
      <c r="V136">
        <v>8</v>
      </c>
      <c r="W136">
        <v>10</v>
      </c>
    </row>
    <row r="137" spans="1:23">
      <c r="A137">
        <v>85</v>
      </c>
      <c r="B137" t="s">
        <v>151</v>
      </c>
      <c r="C137" t="s">
        <v>143</v>
      </c>
      <c r="D137">
        <v>15</v>
      </c>
      <c r="E137" t="s">
        <v>40</v>
      </c>
      <c r="F137" t="s">
        <v>144</v>
      </c>
      <c r="G137" t="s">
        <v>145</v>
      </c>
      <c r="H137" t="s">
        <v>146</v>
      </c>
      <c r="I137" t="s">
        <v>146</v>
      </c>
      <c r="J137" t="s">
        <v>147</v>
      </c>
      <c r="K137" t="s">
        <v>147</v>
      </c>
      <c r="L137" t="s">
        <v>148</v>
      </c>
      <c r="M137">
        <v>0</v>
      </c>
      <c r="N137" t="s">
        <v>149</v>
      </c>
      <c r="O137" t="s">
        <v>149</v>
      </c>
      <c r="P137" t="s">
        <v>150</v>
      </c>
      <c r="Q137" t="s">
        <v>149</v>
      </c>
      <c r="R137" t="s">
        <v>150</v>
      </c>
      <c r="S137" t="s">
        <v>149</v>
      </c>
      <c r="T137">
        <v>2</v>
      </c>
      <c r="U137">
        <v>9</v>
      </c>
      <c r="V137">
        <v>10</v>
      </c>
      <c r="W137">
        <v>10</v>
      </c>
    </row>
    <row r="138" spans="1:23">
      <c r="A138">
        <v>209</v>
      </c>
      <c r="B138" t="s">
        <v>151</v>
      </c>
      <c r="C138" t="s">
        <v>143</v>
      </c>
      <c r="D138">
        <v>16</v>
      </c>
      <c r="E138" t="s">
        <v>40</v>
      </c>
      <c r="F138" t="s">
        <v>144</v>
      </c>
      <c r="G138" t="s">
        <v>145</v>
      </c>
      <c r="H138" t="s">
        <v>146</v>
      </c>
      <c r="I138" t="s">
        <v>146</v>
      </c>
      <c r="J138" t="s">
        <v>156</v>
      </c>
      <c r="K138" t="s">
        <v>147</v>
      </c>
      <c r="L138" t="s">
        <v>157</v>
      </c>
      <c r="M138">
        <v>0</v>
      </c>
      <c r="N138" t="s">
        <v>149</v>
      </c>
      <c r="O138" t="s">
        <v>150</v>
      </c>
      <c r="P138" t="s">
        <v>149</v>
      </c>
      <c r="Q138" t="s">
        <v>150</v>
      </c>
      <c r="R138" t="s">
        <v>149</v>
      </c>
      <c r="S138" t="s">
        <v>149</v>
      </c>
      <c r="T138">
        <v>6</v>
      </c>
      <c r="U138">
        <v>9</v>
      </c>
      <c r="V138">
        <v>9</v>
      </c>
      <c r="W138">
        <v>10</v>
      </c>
    </row>
    <row r="139" spans="1:23">
      <c r="A139">
        <v>376</v>
      </c>
      <c r="B139" t="s">
        <v>142</v>
      </c>
      <c r="C139" t="s">
        <v>143</v>
      </c>
      <c r="D139">
        <v>18</v>
      </c>
      <c r="E139" t="s">
        <v>41</v>
      </c>
      <c r="F139" t="s">
        <v>144</v>
      </c>
      <c r="G139" t="s">
        <v>145</v>
      </c>
      <c r="H139" t="s">
        <v>146</v>
      </c>
      <c r="I139" t="s">
        <v>146</v>
      </c>
      <c r="J139" t="s">
        <v>147</v>
      </c>
      <c r="K139" t="s">
        <v>147</v>
      </c>
      <c r="L139" t="s">
        <v>161</v>
      </c>
      <c r="M139">
        <v>0</v>
      </c>
      <c r="N139" t="s">
        <v>149</v>
      </c>
      <c r="O139" t="s">
        <v>149</v>
      </c>
      <c r="P139" t="s">
        <v>149</v>
      </c>
      <c r="Q139" t="s">
        <v>150</v>
      </c>
      <c r="R139" t="s">
        <v>150</v>
      </c>
      <c r="S139" t="s">
        <v>149</v>
      </c>
      <c r="T139">
        <v>2</v>
      </c>
      <c r="U139">
        <v>8</v>
      </c>
      <c r="V139">
        <v>8</v>
      </c>
      <c r="W139">
        <v>10</v>
      </c>
    </row>
    <row r="140" spans="1:23">
      <c r="A140">
        <v>5</v>
      </c>
      <c r="B140" t="s">
        <v>151</v>
      </c>
      <c r="C140" t="s">
        <v>143</v>
      </c>
      <c r="D140">
        <v>16</v>
      </c>
      <c r="E140" t="s">
        <v>40</v>
      </c>
      <c r="F140" t="s">
        <v>144</v>
      </c>
      <c r="G140" t="s">
        <v>145</v>
      </c>
      <c r="H140" t="s">
        <v>158</v>
      </c>
      <c r="I140" t="s">
        <v>158</v>
      </c>
      <c r="J140" t="s">
        <v>147</v>
      </c>
      <c r="K140" t="s">
        <v>147</v>
      </c>
      <c r="L140" t="s">
        <v>148</v>
      </c>
      <c r="M140">
        <v>0</v>
      </c>
      <c r="N140" t="s">
        <v>149</v>
      </c>
      <c r="O140" t="s">
        <v>150</v>
      </c>
      <c r="P140" t="s">
        <v>149</v>
      </c>
      <c r="Q140" t="s">
        <v>150</v>
      </c>
      <c r="R140" t="s">
        <v>149</v>
      </c>
      <c r="S140" t="s">
        <v>149</v>
      </c>
      <c r="T140">
        <v>4</v>
      </c>
      <c r="U140">
        <v>6</v>
      </c>
      <c r="V140">
        <v>10</v>
      </c>
      <c r="W140">
        <v>10</v>
      </c>
    </row>
    <row r="141" spans="1:23">
      <c r="A141">
        <v>112</v>
      </c>
      <c r="B141" t="s">
        <v>151</v>
      </c>
      <c r="C141" t="s">
        <v>143</v>
      </c>
      <c r="D141">
        <v>16</v>
      </c>
      <c r="E141" t="s">
        <v>41</v>
      </c>
      <c r="F141" t="s">
        <v>144</v>
      </c>
      <c r="G141" t="s">
        <v>145</v>
      </c>
      <c r="H141" t="s">
        <v>158</v>
      </c>
      <c r="I141" t="s">
        <v>158</v>
      </c>
      <c r="J141" t="s">
        <v>153</v>
      </c>
      <c r="K141" t="s">
        <v>147</v>
      </c>
      <c r="L141" t="s">
        <v>161</v>
      </c>
      <c r="M141">
        <v>1</v>
      </c>
      <c r="N141" t="s">
        <v>150</v>
      </c>
      <c r="O141" t="s">
        <v>149</v>
      </c>
      <c r="P141" t="s">
        <v>150</v>
      </c>
      <c r="Q141" t="s">
        <v>150</v>
      </c>
      <c r="R141" t="s">
        <v>150</v>
      </c>
      <c r="S141" t="s">
        <v>149</v>
      </c>
      <c r="T141">
        <v>0</v>
      </c>
      <c r="U141">
        <v>7</v>
      </c>
      <c r="V141">
        <v>10</v>
      </c>
      <c r="W141">
        <v>10</v>
      </c>
    </row>
    <row r="142" spans="1:23">
      <c r="A142">
        <v>363</v>
      </c>
      <c r="B142" t="s">
        <v>142</v>
      </c>
      <c r="C142" t="s">
        <v>143</v>
      </c>
      <c r="D142">
        <v>18</v>
      </c>
      <c r="E142" t="s">
        <v>40</v>
      </c>
      <c r="F142" t="s">
        <v>144</v>
      </c>
      <c r="G142" t="s">
        <v>145</v>
      </c>
      <c r="H142" t="s">
        <v>158</v>
      </c>
      <c r="I142" t="s">
        <v>158</v>
      </c>
      <c r="J142" t="s">
        <v>153</v>
      </c>
      <c r="K142" t="s">
        <v>153</v>
      </c>
      <c r="L142" t="s">
        <v>148</v>
      </c>
      <c r="M142">
        <v>0</v>
      </c>
      <c r="N142" t="s">
        <v>149</v>
      </c>
      <c r="O142" t="s">
        <v>149</v>
      </c>
      <c r="P142" t="s">
        <v>149</v>
      </c>
      <c r="Q142" t="s">
        <v>150</v>
      </c>
      <c r="R142" t="s">
        <v>150</v>
      </c>
      <c r="S142" t="s">
        <v>150</v>
      </c>
      <c r="T142">
        <v>0</v>
      </c>
      <c r="U142">
        <v>11</v>
      </c>
      <c r="V142">
        <v>11</v>
      </c>
      <c r="W142">
        <v>10</v>
      </c>
    </row>
    <row r="143" spans="1:23">
      <c r="A143">
        <v>18</v>
      </c>
      <c r="B143" t="s">
        <v>151</v>
      </c>
      <c r="C143" t="s">
        <v>143</v>
      </c>
      <c r="D143">
        <v>16</v>
      </c>
      <c r="E143" t="s">
        <v>40</v>
      </c>
      <c r="F143" t="s">
        <v>144</v>
      </c>
      <c r="G143" t="s">
        <v>145</v>
      </c>
      <c r="H143" t="s">
        <v>158</v>
      </c>
      <c r="I143" t="s">
        <v>158</v>
      </c>
      <c r="J143" t="s">
        <v>147</v>
      </c>
      <c r="K143" t="s">
        <v>147</v>
      </c>
      <c r="L143" t="s">
        <v>148</v>
      </c>
      <c r="M143">
        <v>0</v>
      </c>
      <c r="N143" t="s">
        <v>150</v>
      </c>
      <c r="O143" t="s">
        <v>149</v>
      </c>
      <c r="P143" t="s">
        <v>150</v>
      </c>
      <c r="Q143" t="s">
        <v>150</v>
      </c>
      <c r="R143" t="s">
        <v>149</v>
      </c>
      <c r="S143" t="s">
        <v>149</v>
      </c>
      <c r="T143">
        <v>4</v>
      </c>
      <c r="U143">
        <v>8</v>
      </c>
      <c r="V143">
        <v>10</v>
      </c>
      <c r="W143">
        <v>10</v>
      </c>
    </row>
    <row r="144" spans="1:23">
      <c r="A144">
        <v>202</v>
      </c>
      <c r="B144" t="s">
        <v>151</v>
      </c>
      <c r="C144" t="s">
        <v>143</v>
      </c>
      <c r="D144">
        <v>16</v>
      </c>
      <c r="E144" t="s">
        <v>40</v>
      </c>
      <c r="F144" t="s">
        <v>144</v>
      </c>
      <c r="G144" t="s">
        <v>145</v>
      </c>
      <c r="H144" t="s">
        <v>100</v>
      </c>
      <c r="I144" t="s">
        <v>158</v>
      </c>
      <c r="J144" t="s">
        <v>147</v>
      </c>
      <c r="K144" t="s">
        <v>147</v>
      </c>
      <c r="L144" t="s">
        <v>148</v>
      </c>
      <c r="M144">
        <v>0</v>
      </c>
      <c r="N144" t="s">
        <v>150</v>
      </c>
      <c r="O144" t="s">
        <v>150</v>
      </c>
      <c r="P144" t="s">
        <v>150</v>
      </c>
      <c r="Q144" t="s">
        <v>150</v>
      </c>
      <c r="R144" t="s">
        <v>149</v>
      </c>
      <c r="S144" t="s">
        <v>149</v>
      </c>
      <c r="T144">
        <v>6</v>
      </c>
      <c r="U144">
        <v>8</v>
      </c>
      <c r="V144">
        <v>10</v>
      </c>
      <c r="W144">
        <v>10</v>
      </c>
    </row>
    <row r="145" spans="1:23">
      <c r="A145">
        <v>220</v>
      </c>
      <c r="B145" t="s">
        <v>151</v>
      </c>
      <c r="C145" t="s">
        <v>143</v>
      </c>
      <c r="D145">
        <v>17</v>
      </c>
      <c r="E145" t="s">
        <v>40</v>
      </c>
      <c r="F145" t="s">
        <v>144</v>
      </c>
      <c r="G145" t="s">
        <v>145</v>
      </c>
      <c r="H145" t="s">
        <v>100</v>
      </c>
      <c r="I145" t="s">
        <v>100</v>
      </c>
      <c r="J145" t="s">
        <v>156</v>
      </c>
      <c r="K145" t="s">
        <v>156</v>
      </c>
      <c r="L145" t="s">
        <v>161</v>
      </c>
      <c r="M145">
        <v>0</v>
      </c>
      <c r="N145" t="s">
        <v>149</v>
      </c>
      <c r="O145" t="s">
        <v>150</v>
      </c>
      <c r="P145" t="s">
        <v>150</v>
      </c>
      <c r="Q145" t="s">
        <v>150</v>
      </c>
      <c r="R145" t="s">
        <v>150</v>
      </c>
      <c r="S145" t="s">
        <v>149</v>
      </c>
      <c r="T145">
        <v>4</v>
      </c>
      <c r="U145">
        <v>9</v>
      </c>
      <c r="V145">
        <v>10</v>
      </c>
      <c r="W145">
        <v>10</v>
      </c>
    </row>
    <row r="146" spans="1:23">
      <c r="A146">
        <v>275</v>
      </c>
      <c r="B146" t="s">
        <v>151</v>
      </c>
      <c r="C146" t="s">
        <v>143</v>
      </c>
      <c r="D146">
        <v>17</v>
      </c>
      <c r="E146" t="s">
        <v>40</v>
      </c>
      <c r="F146" t="s">
        <v>144</v>
      </c>
      <c r="G146" t="s">
        <v>145</v>
      </c>
      <c r="H146" t="s">
        <v>100</v>
      </c>
      <c r="I146" t="s">
        <v>101</v>
      </c>
      <c r="J146" t="s">
        <v>156</v>
      </c>
      <c r="K146" t="s">
        <v>159</v>
      </c>
      <c r="L146" t="s">
        <v>148</v>
      </c>
      <c r="M146">
        <v>0</v>
      </c>
      <c r="N146" t="s">
        <v>149</v>
      </c>
      <c r="O146" t="s">
        <v>150</v>
      </c>
      <c r="P146" t="s">
        <v>149</v>
      </c>
      <c r="Q146" t="s">
        <v>150</v>
      </c>
      <c r="R146" t="s">
        <v>150</v>
      </c>
      <c r="S146" t="s">
        <v>150</v>
      </c>
      <c r="T146">
        <v>2</v>
      </c>
      <c r="U146">
        <v>10</v>
      </c>
      <c r="V146">
        <v>10</v>
      </c>
      <c r="W146">
        <v>10</v>
      </c>
    </row>
    <row r="147" spans="1:23">
      <c r="A147">
        <v>345</v>
      </c>
      <c r="B147" t="s">
        <v>151</v>
      </c>
      <c r="C147" t="s">
        <v>143</v>
      </c>
      <c r="D147">
        <v>18</v>
      </c>
      <c r="E147" t="s">
        <v>40</v>
      </c>
      <c r="F147" t="s">
        <v>144</v>
      </c>
      <c r="G147" t="s">
        <v>145</v>
      </c>
      <c r="H147" t="s">
        <v>100</v>
      </c>
      <c r="I147" t="s">
        <v>158</v>
      </c>
      <c r="J147" t="s">
        <v>156</v>
      </c>
      <c r="K147" t="s">
        <v>147</v>
      </c>
      <c r="L147" t="s">
        <v>161</v>
      </c>
      <c r="M147">
        <v>0</v>
      </c>
      <c r="N147" t="s">
        <v>149</v>
      </c>
      <c r="O147" t="s">
        <v>149</v>
      </c>
      <c r="P147" t="s">
        <v>149</v>
      </c>
      <c r="Q147" t="s">
        <v>150</v>
      </c>
      <c r="R147" t="s">
        <v>150</v>
      </c>
      <c r="S147" t="s">
        <v>149</v>
      </c>
      <c r="T147">
        <v>4</v>
      </c>
      <c r="U147">
        <v>11</v>
      </c>
      <c r="V147">
        <v>10</v>
      </c>
      <c r="W147">
        <v>10</v>
      </c>
    </row>
    <row r="148" spans="1:23">
      <c r="A148">
        <v>310</v>
      </c>
      <c r="B148" t="s">
        <v>151</v>
      </c>
      <c r="C148" t="s">
        <v>143</v>
      </c>
      <c r="D148">
        <v>19</v>
      </c>
      <c r="E148" t="s">
        <v>40</v>
      </c>
      <c r="F148" t="s">
        <v>152</v>
      </c>
      <c r="G148" t="s">
        <v>145</v>
      </c>
      <c r="H148" t="s">
        <v>146</v>
      </c>
      <c r="I148" t="s">
        <v>146</v>
      </c>
      <c r="J148" t="s">
        <v>156</v>
      </c>
      <c r="K148" t="s">
        <v>147</v>
      </c>
      <c r="L148" t="s">
        <v>148</v>
      </c>
      <c r="M148">
        <v>1</v>
      </c>
      <c r="N148" t="s">
        <v>150</v>
      </c>
      <c r="O148" t="s">
        <v>149</v>
      </c>
      <c r="P148" t="s">
        <v>150</v>
      </c>
      <c r="Q148" t="s">
        <v>149</v>
      </c>
      <c r="R148" t="s">
        <v>150</v>
      </c>
      <c r="S148" t="s">
        <v>149</v>
      </c>
      <c r="T148">
        <v>18</v>
      </c>
      <c r="U148">
        <v>12</v>
      </c>
      <c r="V148">
        <v>10</v>
      </c>
      <c r="W148">
        <v>10</v>
      </c>
    </row>
    <row r="149" spans="1:23">
      <c r="A149">
        <v>340</v>
      </c>
      <c r="B149" t="s">
        <v>151</v>
      </c>
      <c r="C149" t="s">
        <v>143</v>
      </c>
      <c r="D149">
        <v>17</v>
      </c>
      <c r="E149" t="s">
        <v>41</v>
      </c>
      <c r="F149" t="s">
        <v>144</v>
      </c>
      <c r="G149" t="s">
        <v>155</v>
      </c>
      <c r="H149" t="s">
        <v>158</v>
      </c>
      <c r="I149" t="s">
        <v>100</v>
      </c>
      <c r="J149" t="s">
        <v>147</v>
      </c>
      <c r="K149" t="s">
        <v>147</v>
      </c>
      <c r="L149" t="s">
        <v>148</v>
      </c>
      <c r="M149">
        <v>0</v>
      </c>
      <c r="N149" t="s">
        <v>149</v>
      </c>
      <c r="O149" t="s">
        <v>150</v>
      </c>
      <c r="P149" t="s">
        <v>149</v>
      </c>
      <c r="Q149" t="s">
        <v>150</v>
      </c>
      <c r="R149" t="s">
        <v>150</v>
      </c>
      <c r="S149" t="s">
        <v>149</v>
      </c>
      <c r="T149">
        <v>4</v>
      </c>
      <c r="U149">
        <v>9</v>
      </c>
      <c r="V149">
        <v>10</v>
      </c>
      <c r="W149">
        <v>10</v>
      </c>
    </row>
    <row r="150" spans="1:23">
      <c r="A150">
        <v>369</v>
      </c>
      <c r="B150" t="s">
        <v>142</v>
      </c>
      <c r="C150" t="s">
        <v>143</v>
      </c>
      <c r="D150">
        <v>18</v>
      </c>
      <c r="E150" t="s">
        <v>40</v>
      </c>
      <c r="F150" t="s">
        <v>144</v>
      </c>
      <c r="G150" t="s">
        <v>145</v>
      </c>
      <c r="H150" t="s">
        <v>100</v>
      </c>
      <c r="I150" t="s">
        <v>158</v>
      </c>
      <c r="J150" t="s">
        <v>156</v>
      </c>
      <c r="K150" t="s">
        <v>153</v>
      </c>
      <c r="L150" t="s">
        <v>157</v>
      </c>
      <c r="M150">
        <v>0</v>
      </c>
      <c r="N150" t="s">
        <v>149</v>
      </c>
      <c r="O150" t="s">
        <v>150</v>
      </c>
      <c r="P150" t="s">
        <v>149</v>
      </c>
      <c r="Q150" t="s">
        <v>150</v>
      </c>
      <c r="R150" t="s">
        <v>150</v>
      </c>
      <c r="S150" t="s">
        <v>150</v>
      </c>
      <c r="T150">
        <v>0</v>
      </c>
      <c r="U150">
        <v>11</v>
      </c>
      <c r="V150">
        <v>10</v>
      </c>
      <c r="W150">
        <v>10</v>
      </c>
    </row>
    <row r="151" spans="1:23">
      <c r="A151">
        <v>386</v>
      </c>
      <c r="B151" t="s">
        <v>142</v>
      </c>
      <c r="C151" t="s">
        <v>143</v>
      </c>
      <c r="D151">
        <v>18</v>
      </c>
      <c r="E151" t="s">
        <v>41</v>
      </c>
      <c r="F151" t="s">
        <v>144</v>
      </c>
      <c r="G151" t="s">
        <v>145</v>
      </c>
      <c r="H151" t="s">
        <v>100</v>
      </c>
      <c r="I151" t="s">
        <v>100</v>
      </c>
      <c r="J151" t="s">
        <v>156</v>
      </c>
      <c r="K151" t="s">
        <v>147</v>
      </c>
      <c r="L151" t="s">
        <v>161</v>
      </c>
      <c r="M151">
        <v>0</v>
      </c>
      <c r="N151" t="s">
        <v>149</v>
      </c>
      <c r="O151" t="s">
        <v>150</v>
      </c>
      <c r="P151" t="s">
        <v>149</v>
      </c>
      <c r="Q151" t="s">
        <v>150</v>
      </c>
      <c r="R151" t="s">
        <v>149</v>
      </c>
      <c r="S151" t="s">
        <v>149</v>
      </c>
      <c r="T151">
        <v>2</v>
      </c>
      <c r="U151">
        <v>10</v>
      </c>
      <c r="V151">
        <v>9</v>
      </c>
      <c r="W151">
        <v>10</v>
      </c>
    </row>
    <row r="152" spans="1:23">
      <c r="A152">
        <v>94</v>
      </c>
      <c r="B152" t="s">
        <v>151</v>
      </c>
      <c r="C152" t="s">
        <v>143</v>
      </c>
      <c r="D152">
        <v>16</v>
      </c>
      <c r="E152" t="s">
        <v>40</v>
      </c>
      <c r="F152" t="s">
        <v>144</v>
      </c>
      <c r="G152" t="s">
        <v>145</v>
      </c>
      <c r="H152" t="s">
        <v>101</v>
      </c>
      <c r="I152" t="s">
        <v>100</v>
      </c>
      <c r="J152" t="s">
        <v>160</v>
      </c>
      <c r="K152" t="s">
        <v>153</v>
      </c>
      <c r="L152" t="s">
        <v>148</v>
      </c>
      <c r="M152">
        <v>0</v>
      </c>
      <c r="N152" t="s">
        <v>149</v>
      </c>
      <c r="O152" t="s">
        <v>150</v>
      </c>
      <c r="P152" t="s">
        <v>150</v>
      </c>
      <c r="Q152" t="s">
        <v>150</v>
      </c>
      <c r="R152" t="s">
        <v>150</v>
      </c>
      <c r="S152" t="s">
        <v>149</v>
      </c>
      <c r="T152">
        <v>0</v>
      </c>
      <c r="U152">
        <v>11</v>
      </c>
      <c r="V152">
        <v>10</v>
      </c>
      <c r="W152">
        <v>10</v>
      </c>
    </row>
    <row r="153" spans="1:23">
      <c r="A153">
        <v>378</v>
      </c>
      <c r="B153" t="s">
        <v>142</v>
      </c>
      <c r="C153" t="s">
        <v>143</v>
      </c>
      <c r="D153">
        <v>18</v>
      </c>
      <c r="E153" t="s">
        <v>41</v>
      </c>
      <c r="F153" t="s">
        <v>152</v>
      </c>
      <c r="G153" t="s">
        <v>145</v>
      </c>
      <c r="H153" t="s">
        <v>101</v>
      </c>
      <c r="I153" t="s">
        <v>101</v>
      </c>
      <c r="J153" t="s">
        <v>160</v>
      </c>
      <c r="K153" t="s">
        <v>153</v>
      </c>
      <c r="L153" t="s">
        <v>148</v>
      </c>
      <c r="M153">
        <v>0</v>
      </c>
      <c r="N153" t="s">
        <v>149</v>
      </c>
      <c r="O153" t="s">
        <v>150</v>
      </c>
      <c r="P153" t="s">
        <v>150</v>
      </c>
      <c r="Q153" t="s">
        <v>150</v>
      </c>
      <c r="R153" t="s">
        <v>150</v>
      </c>
      <c r="S153" t="s">
        <v>149</v>
      </c>
      <c r="T153">
        <v>4</v>
      </c>
      <c r="U153">
        <v>8</v>
      </c>
      <c r="V153">
        <v>9</v>
      </c>
      <c r="W153">
        <v>10</v>
      </c>
    </row>
    <row r="154" spans="1:23">
      <c r="A154">
        <v>65</v>
      </c>
      <c r="B154" t="s">
        <v>151</v>
      </c>
      <c r="C154" t="s">
        <v>143</v>
      </c>
      <c r="D154">
        <v>15</v>
      </c>
      <c r="E154" t="s">
        <v>40</v>
      </c>
      <c r="F154" t="s">
        <v>152</v>
      </c>
      <c r="G154" t="s">
        <v>145</v>
      </c>
      <c r="H154" t="s">
        <v>101</v>
      </c>
      <c r="I154" t="s">
        <v>158</v>
      </c>
      <c r="J154" t="s">
        <v>153</v>
      </c>
      <c r="K154" t="s">
        <v>153</v>
      </c>
      <c r="L154" t="s">
        <v>148</v>
      </c>
      <c r="M154">
        <v>0</v>
      </c>
      <c r="N154" t="s">
        <v>150</v>
      </c>
      <c r="O154" t="s">
        <v>149</v>
      </c>
      <c r="P154" t="s">
        <v>150</v>
      </c>
      <c r="Q154" t="s">
        <v>150</v>
      </c>
      <c r="R154" t="s">
        <v>150</v>
      </c>
      <c r="S154" t="s">
        <v>150</v>
      </c>
      <c r="T154">
        <v>0</v>
      </c>
      <c r="U154">
        <v>10</v>
      </c>
      <c r="V154">
        <v>10</v>
      </c>
      <c r="W154">
        <v>10</v>
      </c>
    </row>
    <row r="155" spans="1:23">
      <c r="A155">
        <v>203</v>
      </c>
      <c r="B155" t="s">
        <v>151</v>
      </c>
      <c r="C155" t="s">
        <v>143</v>
      </c>
      <c r="D155">
        <v>17</v>
      </c>
      <c r="E155" t="s">
        <v>40</v>
      </c>
      <c r="F155" t="s">
        <v>144</v>
      </c>
      <c r="G155" t="s">
        <v>145</v>
      </c>
      <c r="H155" t="s">
        <v>146</v>
      </c>
      <c r="I155" t="s">
        <v>146</v>
      </c>
      <c r="J155" t="s">
        <v>147</v>
      </c>
      <c r="K155" t="s">
        <v>147</v>
      </c>
      <c r="L155" t="s">
        <v>148</v>
      </c>
      <c r="M155">
        <v>0</v>
      </c>
      <c r="N155" t="s">
        <v>149</v>
      </c>
      <c r="O155" t="s">
        <v>150</v>
      </c>
      <c r="P155" t="s">
        <v>149</v>
      </c>
      <c r="Q155" t="s">
        <v>149</v>
      </c>
      <c r="R155" t="s">
        <v>149</v>
      </c>
      <c r="S155" t="s">
        <v>149</v>
      </c>
      <c r="T155">
        <v>4</v>
      </c>
      <c r="U155">
        <v>9</v>
      </c>
      <c r="V155">
        <v>9</v>
      </c>
      <c r="W155">
        <v>10</v>
      </c>
    </row>
    <row r="156" spans="1:23">
      <c r="A156">
        <v>319</v>
      </c>
      <c r="B156" t="s">
        <v>151</v>
      </c>
      <c r="C156" t="s">
        <v>143</v>
      </c>
      <c r="D156">
        <v>17</v>
      </c>
      <c r="E156" t="s">
        <v>41</v>
      </c>
      <c r="F156" t="s">
        <v>144</v>
      </c>
      <c r="G156" t="s">
        <v>145</v>
      </c>
      <c r="H156" t="s">
        <v>158</v>
      </c>
      <c r="I156" t="s">
        <v>101</v>
      </c>
      <c r="J156" t="s">
        <v>156</v>
      </c>
      <c r="K156" t="s">
        <v>153</v>
      </c>
      <c r="L156" t="s">
        <v>161</v>
      </c>
      <c r="M156">
        <v>0</v>
      </c>
      <c r="N156" t="s">
        <v>149</v>
      </c>
      <c r="O156" t="s">
        <v>150</v>
      </c>
      <c r="P156" t="s">
        <v>150</v>
      </c>
      <c r="Q156" t="s">
        <v>149</v>
      </c>
      <c r="R156" t="s">
        <v>150</v>
      </c>
      <c r="S156" t="s">
        <v>149</v>
      </c>
      <c r="T156">
        <v>0</v>
      </c>
      <c r="U156">
        <v>11</v>
      </c>
      <c r="V156">
        <v>11</v>
      </c>
      <c r="W156">
        <v>10</v>
      </c>
    </row>
    <row r="157" spans="1:23">
      <c r="A157">
        <v>380</v>
      </c>
      <c r="B157" t="s">
        <v>142</v>
      </c>
      <c r="C157" t="s">
        <v>143</v>
      </c>
      <c r="D157">
        <v>17</v>
      </c>
      <c r="E157" t="s">
        <v>41</v>
      </c>
      <c r="F157" t="s">
        <v>144</v>
      </c>
      <c r="G157" t="s">
        <v>145</v>
      </c>
      <c r="H157" t="s">
        <v>158</v>
      </c>
      <c r="I157" t="s">
        <v>146</v>
      </c>
      <c r="J157" t="s">
        <v>156</v>
      </c>
      <c r="K157" t="s">
        <v>147</v>
      </c>
      <c r="L157" t="s">
        <v>148</v>
      </c>
      <c r="M157">
        <v>0</v>
      </c>
      <c r="N157" t="s">
        <v>149</v>
      </c>
      <c r="O157" t="s">
        <v>150</v>
      </c>
      <c r="P157" t="s">
        <v>150</v>
      </c>
      <c r="Q157" t="s">
        <v>149</v>
      </c>
      <c r="R157" t="s">
        <v>150</v>
      </c>
      <c r="S157" t="s">
        <v>149</v>
      </c>
      <c r="T157">
        <v>17</v>
      </c>
      <c r="U157">
        <v>10</v>
      </c>
      <c r="V157">
        <v>10</v>
      </c>
      <c r="W157">
        <v>10</v>
      </c>
    </row>
    <row r="158" spans="1:23">
      <c r="A158">
        <v>56</v>
      </c>
      <c r="B158" t="s">
        <v>151</v>
      </c>
      <c r="C158" t="s">
        <v>143</v>
      </c>
      <c r="D158">
        <v>16</v>
      </c>
      <c r="E158" t="s">
        <v>40</v>
      </c>
      <c r="F158" t="s">
        <v>144</v>
      </c>
      <c r="G158" t="s">
        <v>155</v>
      </c>
      <c r="H158" t="s">
        <v>100</v>
      </c>
      <c r="I158" t="s">
        <v>146</v>
      </c>
      <c r="J158" t="s">
        <v>147</v>
      </c>
      <c r="K158" t="s">
        <v>147</v>
      </c>
      <c r="L158" t="s">
        <v>148</v>
      </c>
      <c r="M158">
        <v>0</v>
      </c>
      <c r="N158" t="s">
        <v>149</v>
      </c>
      <c r="O158" t="s">
        <v>150</v>
      </c>
      <c r="P158" t="s">
        <v>150</v>
      </c>
      <c r="Q158" t="s">
        <v>150</v>
      </c>
      <c r="R158" t="s">
        <v>150</v>
      </c>
      <c r="S158" t="s">
        <v>150</v>
      </c>
      <c r="T158">
        <v>8</v>
      </c>
      <c r="U158">
        <v>8</v>
      </c>
      <c r="V158">
        <v>9</v>
      </c>
      <c r="W158">
        <v>10</v>
      </c>
    </row>
    <row r="159" spans="1:23">
      <c r="A159">
        <v>284</v>
      </c>
      <c r="B159" t="s">
        <v>151</v>
      </c>
      <c r="C159" t="s">
        <v>143</v>
      </c>
      <c r="D159">
        <v>18</v>
      </c>
      <c r="E159" t="s">
        <v>40</v>
      </c>
      <c r="F159" t="s">
        <v>144</v>
      </c>
      <c r="G159" t="s">
        <v>145</v>
      </c>
      <c r="H159" t="s">
        <v>146</v>
      </c>
      <c r="I159" t="s">
        <v>146</v>
      </c>
      <c r="J159" t="s">
        <v>147</v>
      </c>
      <c r="K159" t="s">
        <v>147</v>
      </c>
      <c r="L159" t="s">
        <v>148</v>
      </c>
      <c r="M159">
        <v>0</v>
      </c>
      <c r="N159" t="s">
        <v>150</v>
      </c>
      <c r="O159" t="s">
        <v>149</v>
      </c>
      <c r="P159" t="s">
        <v>150</v>
      </c>
      <c r="Q159" t="s">
        <v>150</v>
      </c>
      <c r="R159" t="s">
        <v>150</v>
      </c>
      <c r="S159" t="s">
        <v>149</v>
      </c>
      <c r="T159">
        <v>4</v>
      </c>
      <c r="U159">
        <v>8</v>
      </c>
      <c r="V159">
        <v>9</v>
      </c>
      <c r="W159">
        <v>10</v>
      </c>
    </row>
    <row r="160" spans="1:23">
      <c r="A160">
        <v>98</v>
      </c>
      <c r="B160" t="s">
        <v>151</v>
      </c>
      <c r="C160" t="s">
        <v>143</v>
      </c>
      <c r="D160">
        <v>16</v>
      </c>
      <c r="E160" t="s">
        <v>40</v>
      </c>
      <c r="F160" t="s">
        <v>144</v>
      </c>
      <c r="G160" t="s">
        <v>145</v>
      </c>
      <c r="H160" t="s">
        <v>100</v>
      </c>
      <c r="I160" t="s">
        <v>146</v>
      </c>
      <c r="J160" t="s">
        <v>147</v>
      </c>
      <c r="K160" t="s">
        <v>147</v>
      </c>
      <c r="L160" t="s">
        <v>148</v>
      </c>
      <c r="M160">
        <v>0</v>
      </c>
      <c r="N160" t="s">
        <v>149</v>
      </c>
      <c r="O160" t="s">
        <v>150</v>
      </c>
      <c r="P160" t="s">
        <v>149</v>
      </c>
      <c r="Q160" t="s">
        <v>150</v>
      </c>
      <c r="R160" t="s">
        <v>149</v>
      </c>
      <c r="S160" t="s">
        <v>150</v>
      </c>
      <c r="T160">
        <v>2</v>
      </c>
      <c r="U160">
        <v>8</v>
      </c>
      <c r="V160">
        <v>9</v>
      </c>
      <c r="W160">
        <v>10</v>
      </c>
    </row>
    <row r="161" spans="1:23">
      <c r="A161">
        <v>158</v>
      </c>
      <c r="B161" t="s">
        <v>151</v>
      </c>
      <c r="C161" t="s">
        <v>143</v>
      </c>
      <c r="D161">
        <v>18</v>
      </c>
      <c r="E161" t="s">
        <v>41</v>
      </c>
      <c r="F161" t="s">
        <v>144</v>
      </c>
      <c r="G161" t="s">
        <v>145</v>
      </c>
      <c r="H161" t="s">
        <v>146</v>
      </c>
      <c r="I161" t="s">
        <v>146</v>
      </c>
      <c r="J161" t="s">
        <v>156</v>
      </c>
      <c r="K161" t="s">
        <v>147</v>
      </c>
      <c r="L161" t="s">
        <v>157</v>
      </c>
      <c r="M161">
        <v>3</v>
      </c>
      <c r="N161" t="s">
        <v>149</v>
      </c>
      <c r="O161" t="s">
        <v>149</v>
      </c>
      <c r="P161" t="s">
        <v>150</v>
      </c>
      <c r="Q161" t="s">
        <v>149</v>
      </c>
      <c r="R161" t="s">
        <v>149</v>
      </c>
      <c r="S161" t="s">
        <v>149</v>
      </c>
      <c r="T161">
        <v>6</v>
      </c>
      <c r="U161">
        <v>9</v>
      </c>
      <c r="V161">
        <v>8</v>
      </c>
      <c r="W161">
        <v>10</v>
      </c>
    </row>
    <row r="162" spans="1:23">
      <c r="A162">
        <v>79</v>
      </c>
      <c r="B162" t="s">
        <v>151</v>
      </c>
      <c r="C162" t="s">
        <v>162</v>
      </c>
      <c r="D162">
        <v>17</v>
      </c>
      <c r="E162" t="s">
        <v>40</v>
      </c>
      <c r="F162" t="s">
        <v>144</v>
      </c>
      <c r="G162" t="s">
        <v>145</v>
      </c>
      <c r="H162" t="s">
        <v>100</v>
      </c>
      <c r="I162" t="s">
        <v>146</v>
      </c>
      <c r="J162" t="s">
        <v>147</v>
      </c>
      <c r="K162" t="s">
        <v>147</v>
      </c>
      <c r="L162" t="s">
        <v>157</v>
      </c>
      <c r="M162">
        <v>3</v>
      </c>
      <c r="N162" t="s">
        <v>150</v>
      </c>
      <c r="O162" t="s">
        <v>149</v>
      </c>
      <c r="P162" t="s">
        <v>150</v>
      </c>
      <c r="Q162" t="s">
        <v>150</v>
      </c>
      <c r="R162" t="s">
        <v>150</v>
      </c>
      <c r="S162" t="s">
        <v>149</v>
      </c>
      <c r="T162">
        <v>2</v>
      </c>
      <c r="U162">
        <v>8</v>
      </c>
      <c r="V162">
        <v>8</v>
      </c>
      <c r="W162">
        <v>10</v>
      </c>
    </row>
    <row r="163" spans="1:23">
      <c r="A163">
        <v>302</v>
      </c>
      <c r="B163" t="s">
        <v>151</v>
      </c>
      <c r="C163" t="s">
        <v>162</v>
      </c>
      <c r="D163">
        <v>17</v>
      </c>
      <c r="E163" t="s">
        <v>40</v>
      </c>
      <c r="F163" t="s">
        <v>152</v>
      </c>
      <c r="G163" t="s">
        <v>145</v>
      </c>
      <c r="H163" t="s">
        <v>101</v>
      </c>
      <c r="I163" t="s">
        <v>101</v>
      </c>
      <c r="J163" t="s">
        <v>147</v>
      </c>
      <c r="K163" t="s">
        <v>160</v>
      </c>
      <c r="L163" t="s">
        <v>157</v>
      </c>
      <c r="M163">
        <v>0</v>
      </c>
      <c r="N163" t="s">
        <v>149</v>
      </c>
      <c r="O163" t="s">
        <v>150</v>
      </c>
      <c r="P163" t="s">
        <v>149</v>
      </c>
      <c r="Q163" t="s">
        <v>150</v>
      </c>
      <c r="R163" t="s">
        <v>150</v>
      </c>
      <c r="S163" t="s">
        <v>149</v>
      </c>
      <c r="T163">
        <v>0</v>
      </c>
      <c r="U163">
        <v>11</v>
      </c>
      <c r="V163">
        <v>11</v>
      </c>
      <c r="W163">
        <v>10</v>
      </c>
    </row>
    <row r="164" spans="1:23">
      <c r="A164">
        <v>394</v>
      </c>
      <c r="B164" t="s">
        <v>142</v>
      </c>
      <c r="C164" t="s">
        <v>162</v>
      </c>
      <c r="D164">
        <v>18</v>
      </c>
      <c r="E164" t="s">
        <v>41</v>
      </c>
      <c r="F164" t="s">
        <v>152</v>
      </c>
      <c r="G164" t="s">
        <v>145</v>
      </c>
      <c r="H164" t="s">
        <v>158</v>
      </c>
      <c r="I164" t="s">
        <v>100</v>
      </c>
      <c r="J164" t="s">
        <v>153</v>
      </c>
      <c r="K164" t="s">
        <v>147</v>
      </c>
      <c r="L164" t="s">
        <v>157</v>
      </c>
      <c r="M164">
        <v>0</v>
      </c>
      <c r="N164" t="s">
        <v>149</v>
      </c>
      <c r="O164" t="s">
        <v>149</v>
      </c>
      <c r="P164" t="s">
        <v>149</v>
      </c>
      <c r="Q164" t="s">
        <v>149</v>
      </c>
      <c r="R164" t="s">
        <v>150</v>
      </c>
      <c r="S164" t="s">
        <v>149</v>
      </c>
      <c r="T164">
        <v>0</v>
      </c>
      <c r="U164">
        <v>11</v>
      </c>
      <c r="V164">
        <v>12</v>
      </c>
      <c r="W164">
        <v>10</v>
      </c>
    </row>
    <row r="165" spans="1:23">
      <c r="A165">
        <v>359</v>
      </c>
      <c r="B165" t="s">
        <v>142</v>
      </c>
      <c r="C165" t="s">
        <v>162</v>
      </c>
      <c r="D165">
        <v>18</v>
      </c>
      <c r="E165" t="s">
        <v>40</v>
      </c>
      <c r="F165" t="s">
        <v>152</v>
      </c>
      <c r="G165" t="s">
        <v>145</v>
      </c>
      <c r="H165" t="s">
        <v>146</v>
      </c>
      <c r="I165" t="s">
        <v>146</v>
      </c>
      <c r="J165" t="s">
        <v>147</v>
      </c>
      <c r="K165" t="s">
        <v>153</v>
      </c>
      <c r="L165" t="s">
        <v>157</v>
      </c>
      <c r="M165">
        <v>0</v>
      </c>
      <c r="N165" t="s">
        <v>149</v>
      </c>
      <c r="O165" t="s">
        <v>149</v>
      </c>
      <c r="P165" t="s">
        <v>149</v>
      </c>
      <c r="Q165" t="s">
        <v>149</v>
      </c>
      <c r="R165" t="s">
        <v>150</v>
      </c>
      <c r="S165" t="s">
        <v>150</v>
      </c>
      <c r="T165">
        <v>4</v>
      </c>
      <c r="U165">
        <v>10</v>
      </c>
      <c r="V165">
        <v>10</v>
      </c>
      <c r="W165">
        <v>10</v>
      </c>
    </row>
    <row r="166" spans="1:23">
      <c r="A166">
        <v>89</v>
      </c>
      <c r="B166" t="s">
        <v>151</v>
      </c>
      <c r="C166" t="s">
        <v>162</v>
      </c>
      <c r="D166">
        <v>16</v>
      </c>
      <c r="E166" t="s">
        <v>40</v>
      </c>
      <c r="F166" t="s">
        <v>144</v>
      </c>
      <c r="G166" t="s">
        <v>145</v>
      </c>
      <c r="H166" t="s">
        <v>100</v>
      </c>
      <c r="I166" t="s">
        <v>100</v>
      </c>
      <c r="J166" t="s">
        <v>153</v>
      </c>
      <c r="K166" t="s">
        <v>147</v>
      </c>
      <c r="L166" t="s">
        <v>148</v>
      </c>
      <c r="M166">
        <v>1</v>
      </c>
      <c r="N166" t="s">
        <v>149</v>
      </c>
      <c r="O166" t="s">
        <v>150</v>
      </c>
      <c r="P166" t="s">
        <v>150</v>
      </c>
      <c r="Q166" t="s">
        <v>149</v>
      </c>
      <c r="R166" t="s">
        <v>150</v>
      </c>
      <c r="S166" t="s">
        <v>149</v>
      </c>
      <c r="T166">
        <v>12</v>
      </c>
      <c r="U166">
        <v>11</v>
      </c>
      <c r="V166">
        <v>10</v>
      </c>
      <c r="W166">
        <v>10</v>
      </c>
    </row>
    <row r="167" spans="1:23">
      <c r="A167">
        <v>194</v>
      </c>
      <c r="B167" t="s">
        <v>151</v>
      </c>
      <c r="C167" t="s">
        <v>162</v>
      </c>
      <c r="D167">
        <v>16</v>
      </c>
      <c r="E167" t="s">
        <v>41</v>
      </c>
      <c r="F167" t="s">
        <v>144</v>
      </c>
      <c r="G167" t="s">
        <v>145</v>
      </c>
      <c r="H167" t="s">
        <v>158</v>
      </c>
      <c r="I167" t="s">
        <v>158</v>
      </c>
      <c r="J167" t="s">
        <v>153</v>
      </c>
      <c r="K167" t="s">
        <v>153</v>
      </c>
      <c r="L167" t="s">
        <v>157</v>
      </c>
      <c r="M167">
        <v>0</v>
      </c>
      <c r="N167" t="s">
        <v>149</v>
      </c>
      <c r="O167" t="s">
        <v>149</v>
      </c>
      <c r="P167" t="s">
        <v>150</v>
      </c>
      <c r="Q167" t="s">
        <v>150</v>
      </c>
      <c r="R167" t="s">
        <v>150</v>
      </c>
      <c r="S167" t="s">
        <v>149</v>
      </c>
      <c r="T167">
        <v>8</v>
      </c>
      <c r="U167">
        <v>8</v>
      </c>
      <c r="V167">
        <v>9</v>
      </c>
      <c r="W167">
        <v>10</v>
      </c>
    </row>
    <row r="168" spans="1:23">
      <c r="A168">
        <v>20</v>
      </c>
      <c r="B168" t="s">
        <v>151</v>
      </c>
      <c r="C168" t="s">
        <v>162</v>
      </c>
      <c r="D168">
        <v>16</v>
      </c>
      <c r="E168" t="s">
        <v>40</v>
      </c>
      <c r="F168" t="s">
        <v>152</v>
      </c>
      <c r="G168" t="s">
        <v>145</v>
      </c>
      <c r="H168" t="s">
        <v>101</v>
      </c>
      <c r="I168" t="s">
        <v>158</v>
      </c>
      <c r="J168" t="s">
        <v>159</v>
      </c>
      <c r="K168" t="s">
        <v>147</v>
      </c>
      <c r="L168" t="s">
        <v>157</v>
      </c>
      <c r="M168">
        <v>0</v>
      </c>
      <c r="N168" t="s">
        <v>149</v>
      </c>
      <c r="O168" t="s">
        <v>150</v>
      </c>
      <c r="P168" t="s">
        <v>150</v>
      </c>
      <c r="Q168" t="s">
        <v>150</v>
      </c>
      <c r="R168" t="s">
        <v>150</v>
      </c>
      <c r="S168" t="s">
        <v>149</v>
      </c>
      <c r="T168">
        <v>4</v>
      </c>
      <c r="U168">
        <v>8</v>
      </c>
      <c r="V168">
        <v>10</v>
      </c>
      <c r="W168">
        <v>10</v>
      </c>
    </row>
    <row r="169" spans="1:23">
      <c r="A169">
        <v>72</v>
      </c>
      <c r="B169" t="s">
        <v>151</v>
      </c>
      <c r="C169" t="s">
        <v>162</v>
      </c>
      <c r="D169">
        <v>15</v>
      </c>
      <c r="E169" t="s">
        <v>40</v>
      </c>
      <c r="F169" t="s">
        <v>144</v>
      </c>
      <c r="G169" t="s">
        <v>145</v>
      </c>
      <c r="H169" t="s">
        <v>101</v>
      </c>
      <c r="I169" t="s">
        <v>100</v>
      </c>
      <c r="J169" t="s">
        <v>147</v>
      </c>
      <c r="K169" t="s">
        <v>147</v>
      </c>
      <c r="L169" t="s">
        <v>154</v>
      </c>
      <c r="M169">
        <v>0</v>
      </c>
      <c r="N169" t="s">
        <v>149</v>
      </c>
      <c r="O169" t="s">
        <v>149</v>
      </c>
      <c r="P169" t="s">
        <v>149</v>
      </c>
      <c r="Q169" t="s">
        <v>150</v>
      </c>
      <c r="R169" t="s">
        <v>150</v>
      </c>
      <c r="S169" t="s">
        <v>149</v>
      </c>
      <c r="T169">
        <v>0</v>
      </c>
      <c r="U169">
        <v>10</v>
      </c>
      <c r="V169">
        <v>10</v>
      </c>
      <c r="W169">
        <v>10</v>
      </c>
    </row>
    <row r="170" spans="1:23">
      <c r="A170">
        <v>77</v>
      </c>
      <c r="B170" t="s">
        <v>151</v>
      </c>
      <c r="C170" t="s">
        <v>162</v>
      </c>
      <c r="D170">
        <v>15</v>
      </c>
      <c r="E170" t="s">
        <v>40</v>
      </c>
      <c r="F170" t="s">
        <v>144</v>
      </c>
      <c r="G170" t="s">
        <v>145</v>
      </c>
      <c r="H170" t="s">
        <v>101</v>
      </c>
      <c r="I170" t="s">
        <v>163</v>
      </c>
      <c r="J170" t="s">
        <v>160</v>
      </c>
      <c r="K170" t="s">
        <v>147</v>
      </c>
      <c r="L170" t="s">
        <v>154</v>
      </c>
      <c r="M170">
        <v>0</v>
      </c>
      <c r="N170" t="s">
        <v>149</v>
      </c>
      <c r="O170" t="s">
        <v>149</v>
      </c>
      <c r="P170" t="s">
        <v>150</v>
      </c>
      <c r="Q170" t="s">
        <v>150</v>
      </c>
      <c r="R170" t="s">
        <v>150</v>
      </c>
      <c r="S170" t="s">
        <v>149</v>
      </c>
      <c r="T170">
        <v>8</v>
      </c>
      <c r="U170">
        <v>11</v>
      </c>
      <c r="V170">
        <v>11</v>
      </c>
      <c r="W170">
        <v>10</v>
      </c>
    </row>
    <row r="171" spans="1:23">
      <c r="A171">
        <v>190</v>
      </c>
      <c r="B171" t="s">
        <v>151</v>
      </c>
      <c r="C171" t="s">
        <v>162</v>
      </c>
      <c r="D171">
        <v>17</v>
      </c>
      <c r="E171" t="s">
        <v>41</v>
      </c>
      <c r="F171" t="s">
        <v>144</v>
      </c>
      <c r="G171" t="s">
        <v>145</v>
      </c>
      <c r="H171" t="s">
        <v>146</v>
      </c>
      <c r="I171" t="s">
        <v>100</v>
      </c>
      <c r="J171" t="s">
        <v>156</v>
      </c>
      <c r="K171" t="s">
        <v>147</v>
      </c>
      <c r="L171" t="s">
        <v>148</v>
      </c>
      <c r="M171">
        <v>0</v>
      </c>
      <c r="N171" t="s">
        <v>149</v>
      </c>
      <c r="O171" t="s">
        <v>149</v>
      </c>
      <c r="P171" t="s">
        <v>149</v>
      </c>
      <c r="Q171" t="s">
        <v>150</v>
      </c>
      <c r="R171" t="s">
        <v>149</v>
      </c>
      <c r="S171" t="s">
        <v>149</v>
      </c>
      <c r="T171">
        <v>4</v>
      </c>
      <c r="U171">
        <v>8</v>
      </c>
      <c r="V171">
        <v>9</v>
      </c>
      <c r="W171">
        <v>10</v>
      </c>
    </row>
    <row r="172" spans="1:23">
      <c r="A172">
        <v>383</v>
      </c>
      <c r="B172" t="s">
        <v>142</v>
      </c>
      <c r="C172" t="s">
        <v>162</v>
      </c>
      <c r="D172">
        <v>17</v>
      </c>
      <c r="E172" t="s">
        <v>40</v>
      </c>
      <c r="F172" t="s">
        <v>144</v>
      </c>
      <c r="G172" t="s">
        <v>145</v>
      </c>
      <c r="H172" t="s">
        <v>100</v>
      </c>
      <c r="I172" t="s">
        <v>158</v>
      </c>
      <c r="J172" t="s">
        <v>147</v>
      </c>
      <c r="K172" t="s">
        <v>153</v>
      </c>
      <c r="L172" t="s">
        <v>148</v>
      </c>
      <c r="M172">
        <v>0</v>
      </c>
      <c r="N172" t="s">
        <v>149</v>
      </c>
      <c r="O172" t="s">
        <v>149</v>
      </c>
      <c r="P172" t="s">
        <v>150</v>
      </c>
      <c r="Q172" t="s">
        <v>150</v>
      </c>
      <c r="R172" t="s">
        <v>150</v>
      </c>
      <c r="S172" t="s">
        <v>149</v>
      </c>
      <c r="T172">
        <v>2</v>
      </c>
      <c r="U172">
        <v>11</v>
      </c>
      <c r="V172">
        <v>11</v>
      </c>
      <c r="W172">
        <v>10</v>
      </c>
    </row>
    <row r="173" spans="1:23">
      <c r="A173">
        <v>76</v>
      </c>
      <c r="B173" t="s">
        <v>151</v>
      </c>
      <c r="C173" t="s">
        <v>162</v>
      </c>
      <c r="D173">
        <v>15</v>
      </c>
      <c r="E173" t="s">
        <v>40</v>
      </c>
      <c r="F173" t="s">
        <v>144</v>
      </c>
      <c r="G173" t="s">
        <v>145</v>
      </c>
      <c r="H173" t="s">
        <v>101</v>
      </c>
      <c r="I173" t="s">
        <v>158</v>
      </c>
      <c r="J173" t="s">
        <v>160</v>
      </c>
      <c r="K173" t="s">
        <v>147</v>
      </c>
      <c r="L173" t="s">
        <v>148</v>
      </c>
      <c r="M173">
        <v>0</v>
      </c>
      <c r="N173" t="s">
        <v>149</v>
      </c>
      <c r="O173" t="s">
        <v>150</v>
      </c>
      <c r="P173" t="s">
        <v>150</v>
      </c>
      <c r="Q173" t="s">
        <v>150</v>
      </c>
      <c r="R173" t="s">
        <v>150</v>
      </c>
      <c r="S173" t="s">
        <v>149</v>
      </c>
      <c r="T173">
        <v>6</v>
      </c>
      <c r="U173">
        <v>9</v>
      </c>
      <c r="V173">
        <v>9</v>
      </c>
      <c r="W173">
        <v>10</v>
      </c>
    </row>
    <row r="174" spans="1:23">
      <c r="A174">
        <v>280</v>
      </c>
      <c r="B174" t="s">
        <v>151</v>
      </c>
      <c r="C174" t="s">
        <v>162</v>
      </c>
      <c r="D174">
        <v>18</v>
      </c>
      <c r="E174" t="s">
        <v>40</v>
      </c>
      <c r="F174" t="s">
        <v>152</v>
      </c>
      <c r="G174" t="s">
        <v>145</v>
      </c>
      <c r="H174" t="s">
        <v>101</v>
      </c>
      <c r="I174" t="s">
        <v>158</v>
      </c>
      <c r="J174" t="s">
        <v>160</v>
      </c>
      <c r="K174" t="s">
        <v>153</v>
      </c>
      <c r="L174" t="s">
        <v>157</v>
      </c>
      <c r="M174">
        <v>0</v>
      </c>
      <c r="N174" t="s">
        <v>149</v>
      </c>
      <c r="O174" t="s">
        <v>150</v>
      </c>
      <c r="P174" t="s">
        <v>150</v>
      </c>
      <c r="Q174" t="s">
        <v>150</v>
      </c>
      <c r="R174" t="s">
        <v>150</v>
      </c>
      <c r="S174" t="s">
        <v>149</v>
      </c>
      <c r="T174">
        <v>8</v>
      </c>
      <c r="U174">
        <v>10</v>
      </c>
      <c r="V174">
        <v>11</v>
      </c>
      <c r="W174">
        <v>10</v>
      </c>
    </row>
    <row r="175" spans="1:23">
      <c r="A175">
        <v>164</v>
      </c>
      <c r="B175" t="s">
        <v>151</v>
      </c>
      <c r="C175" t="s">
        <v>162</v>
      </c>
      <c r="D175">
        <v>17</v>
      </c>
      <c r="E175" t="s">
        <v>40</v>
      </c>
      <c r="F175" t="s">
        <v>144</v>
      </c>
      <c r="G175" t="s">
        <v>145</v>
      </c>
      <c r="H175" t="s">
        <v>146</v>
      </c>
      <c r="I175" t="s">
        <v>158</v>
      </c>
      <c r="J175" t="s">
        <v>156</v>
      </c>
      <c r="K175" t="s">
        <v>153</v>
      </c>
      <c r="L175" t="s">
        <v>157</v>
      </c>
      <c r="M175">
        <v>0</v>
      </c>
      <c r="N175" t="s">
        <v>149</v>
      </c>
      <c r="O175" t="s">
        <v>149</v>
      </c>
      <c r="P175" t="s">
        <v>149</v>
      </c>
      <c r="Q175" t="s">
        <v>150</v>
      </c>
      <c r="R175" t="s">
        <v>150</v>
      </c>
      <c r="S175" t="s">
        <v>149</v>
      </c>
      <c r="T175">
        <v>2</v>
      </c>
      <c r="U175">
        <v>10</v>
      </c>
      <c r="V175">
        <v>10</v>
      </c>
      <c r="W175">
        <v>10</v>
      </c>
    </row>
    <row r="176" spans="1:23">
      <c r="A176">
        <v>236</v>
      </c>
      <c r="B176" t="s">
        <v>151</v>
      </c>
      <c r="C176" t="s">
        <v>162</v>
      </c>
      <c r="D176">
        <v>16</v>
      </c>
      <c r="E176" t="s">
        <v>40</v>
      </c>
      <c r="F176" t="s">
        <v>144</v>
      </c>
      <c r="G176" t="s">
        <v>145</v>
      </c>
      <c r="H176" t="s">
        <v>158</v>
      </c>
      <c r="I176" t="s">
        <v>100</v>
      </c>
      <c r="J176" t="s">
        <v>156</v>
      </c>
      <c r="K176" t="s">
        <v>147</v>
      </c>
      <c r="L176" t="s">
        <v>161</v>
      </c>
      <c r="M176">
        <v>0</v>
      </c>
      <c r="N176" t="s">
        <v>149</v>
      </c>
      <c r="O176" t="s">
        <v>149</v>
      </c>
      <c r="P176" t="s">
        <v>150</v>
      </c>
      <c r="Q176" t="s">
        <v>150</v>
      </c>
      <c r="R176" t="s">
        <v>150</v>
      </c>
      <c r="S176" t="s">
        <v>150</v>
      </c>
      <c r="T176">
        <v>10</v>
      </c>
      <c r="U176">
        <v>11</v>
      </c>
      <c r="V176">
        <v>9</v>
      </c>
      <c r="W176">
        <v>10</v>
      </c>
    </row>
    <row r="177" spans="1:23">
      <c r="A177">
        <v>252</v>
      </c>
      <c r="B177" t="s">
        <v>151</v>
      </c>
      <c r="C177" t="s">
        <v>162</v>
      </c>
      <c r="D177">
        <v>16</v>
      </c>
      <c r="E177" t="s">
        <v>40</v>
      </c>
      <c r="F177" t="s">
        <v>144</v>
      </c>
      <c r="G177" t="s">
        <v>145</v>
      </c>
      <c r="H177" t="s">
        <v>158</v>
      </c>
      <c r="I177" t="s">
        <v>158</v>
      </c>
      <c r="J177" t="s">
        <v>156</v>
      </c>
      <c r="K177" t="s">
        <v>147</v>
      </c>
      <c r="L177" t="s">
        <v>148</v>
      </c>
      <c r="M177">
        <v>0</v>
      </c>
      <c r="N177" t="s">
        <v>150</v>
      </c>
      <c r="O177" t="s">
        <v>149</v>
      </c>
      <c r="P177" t="s">
        <v>149</v>
      </c>
      <c r="Q177" t="s">
        <v>149</v>
      </c>
      <c r="R177" t="s">
        <v>150</v>
      </c>
      <c r="S177" t="s">
        <v>149</v>
      </c>
      <c r="T177">
        <v>6</v>
      </c>
      <c r="U177">
        <v>7</v>
      </c>
      <c r="V177">
        <v>10</v>
      </c>
      <c r="W177">
        <v>10</v>
      </c>
    </row>
    <row r="178" spans="1:23">
      <c r="A178">
        <v>366</v>
      </c>
      <c r="B178" t="s">
        <v>142</v>
      </c>
      <c r="C178" t="s">
        <v>162</v>
      </c>
      <c r="D178">
        <v>18</v>
      </c>
      <c r="E178" t="s">
        <v>41</v>
      </c>
      <c r="F178" t="s">
        <v>144</v>
      </c>
      <c r="G178" t="s">
        <v>145</v>
      </c>
      <c r="H178" t="s">
        <v>146</v>
      </c>
      <c r="I178" t="s">
        <v>158</v>
      </c>
      <c r="J178" t="s">
        <v>156</v>
      </c>
      <c r="K178" t="s">
        <v>147</v>
      </c>
      <c r="L178" t="s">
        <v>148</v>
      </c>
      <c r="M178">
        <v>0</v>
      </c>
      <c r="N178" t="s">
        <v>149</v>
      </c>
      <c r="O178" t="s">
        <v>150</v>
      </c>
      <c r="P178" t="s">
        <v>149</v>
      </c>
      <c r="Q178" t="s">
        <v>150</v>
      </c>
      <c r="R178" t="s">
        <v>149</v>
      </c>
      <c r="S178" t="s">
        <v>149</v>
      </c>
      <c r="T178">
        <v>4</v>
      </c>
      <c r="U178">
        <v>10</v>
      </c>
      <c r="V178">
        <v>10</v>
      </c>
      <c r="W178">
        <v>10</v>
      </c>
    </row>
    <row r="179" spans="1:23">
      <c r="A179">
        <v>198</v>
      </c>
      <c r="B179" t="s">
        <v>151</v>
      </c>
      <c r="C179" t="s">
        <v>162</v>
      </c>
      <c r="D179">
        <v>16</v>
      </c>
      <c r="E179" t="s">
        <v>41</v>
      </c>
      <c r="F179" t="s">
        <v>152</v>
      </c>
      <c r="G179" t="s">
        <v>145</v>
      </c>
      <c r="H179" t="s">
        <v>158</v>
      </c>
      <c r="I179" t="s">
        <v>158</v>
      </c>
      <c r="J179" t="s">
        <v>160</v>
      </c>
      <c r="K179" t="s">
        <v>147</v>
      </c>
      <c r="L179" t="s">
        <v>157</v>
      </c>
      <c r="M179">
        <v>0</v>
      </c>
      <c r="N179" t="s">
        <v>149</v>
      </c>
      <c r="O179" t="s">
        <v>150</v>
      </c>
      <c r="P179" t="s">
        <v>150</v>
      </c>
      <c r="Q179" t="s">
        <v>150</v>
      </c>
      <c r="R179" t="s">
        <v>150</v>
      </c>
      <c r="S179" t="s">
        <v>149</v>
      </c>
      <c r="T179">
        <v>8</v>
      </c>
      <c r="U179">
        <v>9</v>
      </c>
      <c r="V179">
        <v>9</v>
      </c>
      <c r="W179">
        <v>10</v>
      </c>
    </row>
    <row r="180" spans="1:23">
      <c r="A180">
        <v>173</v>
      </c>
      <c r="B180" t="s">
        <v>151</v>
      </c>
      <c r="C180" t="s">
        <v>162</v>
      </c>
      <c r="D180">
        <v>17</v>
      </c>
      <c r="E180" t="s">
        <v>40</v>
      </c>
      <c r="F180" t="s">
        <v>152</v>
      </c>
      <c r="G180" t="s">
        <v>145</v>
      </c>
      <c r="H180" t="s">
        <v>101</v>
      </c>
      <c r="I180" t="s">
        <v>101</v>
      </c>
      <c r="J180" t="s">
        <v>160</v>
      </c>
      <c r="K180" t="s">
        <v>147</v>
      </c>
      <c r="L180" t="s">
        <v>148</v>
      </c>
      <c r="M180">
        <v>0</v>
      </c>
      <c r="N180" t="s">
        <v>149</v>
      </c>
      <c r="O180" t="s">
        <v>150</v>
      </c>
      <c r="P180" t="s">
        <v>150</v>
      </c>
      <c r="Q180" t="s">
        <v>150</v>
      </c>
      <c r="R180" t="s">
        <v>150</v>
      </c>
      <c r="S180" t="s">
        <v>149</v>
      </c>
      <c r="T180">
        <v>0</v>
      </c>
      <c r="U180">
        <v>13</v>
      </c>
      <c r="V180">
        <v>11</v>
      </c>
      <c r="W180">
        <v>10</v>
      </c>
    </row>
    <row r="181" spans="1:23">
      <c r="A181">
        <v>282</v>
      </c>
      <c r="B181" t="s">
        <v>151</v>
      </c>
      <c r="C181" t="s">
        <v>162</v>
      </c>
      <c r="D181">
        <v>17</v>
      </c>
      <c r="E181" t="s">
        <v>40</v>
      </c>
      <c r="F181" t="s">
        <v>152</v>
      </c>
      <c r="G181" t="s">
        <v>155</v>
      </c>
      <c r="H181" t="s">
        <v>158</v>
      </c>
      <c r="I181" t="s">
        <v>100</v>
      </c>
      <c r="J181" t="s">
        <v>160</v>
      </c>
      <c r="K181" t="s">
        <v>153</v>
      </c>
      <c r="L181" t="s">
        <v>157</v>
      </c>
      <c r="M181">
        <v>1</v>
      </c>
      <c r="N181" t="s">
        <v>149</v>
      </c>
      <c r="O181" t="s">
        <v>149</v>
      </c>
      <c r="P181" t="s">
        <v>149</v>
      </c>
      <c r="Q181" t="s">
        <v>150</v>
      </c>
      <c r="R181" t="s">
        <v>150</v>
      </c>
      <c r="S181" t="s">
        <v>149</v>
      </c>
      <c r="T181">
        <v>19</v>
      </c>
      <c r="U181">
        <v>11</v>
      </c>
      <c r="V181">
        <v>9</v>
      </c>
      <c r="W181">
        <v>10</v>
      </c>
    </row>
    <row r="182" spans="1:23">
      <c r="A182">
        <v>267</v>
      </c>
      <c r="B182" t="s">
        <v>151</v>
      </c>
      <c r="C182" t="s">
        <v>162</v>
      </c>
      <c r="D182">
        <v>17</v>
      </c>
      <c r="E182" t="s">
        <v>40</v>
      </c>
      <c r="F182" t="s">
        <v>144</v>
      </c>
      <c r="G182" t="s">
        <v>145</v>
      </c>
      <c r="H182" t="s">
        <v>158</v>
      </c>
      <c r="I182" t="s">
        <v>146</v>
      </c>
      <c r="J182" t="s">
        <v>153</v>
      </c>
      <c r="K182" t="s">
        <v>147</v>
      </c>
      <c r="L182" t="s">
        <v>148</v>
      </c>
      <c r="M182">
        <v>0</v>
      </c>
      <c r="N182" t="s">
        <v>149</v>
      </c>
      <c r="O182" t="s">
        <v>150</v>
      </c>
      <c r="P182" t="s">
        <v>150</v>
      </c>
      <c r="Q182" t="s">
        <v>150</v>
      </c>
      <c r="R182" t="s">
        <v>150</v>
      </c>
      <c r="S182" t="s">
        <v>150</v>
      </c>
      <c r="T182">
        <v>2</v>
      </c>
      <c r="U182">
        <v>9</v>
      </c>
      <c r="V182">
        <v>9</v>
      </c>
      <c r="W182">
        <v>10</v>
      </c>
    </row>
    <row r="183" spans="1:23">
      <c r="A183">
        <v>150</v>
      </c>
      <c r="B183" t="s">
        <v>151</v>
      </c>
      <c r="C183" t="s">
        <v>162</v>
      </c>
      <c r="D183">
        <v>15</v>
      </c>
      <c r="E183" t="s">
        <v>40</v>
      </c>
      <c r="F183" t="s">
        <v>152</v>
      </c>
      <c r="G183" t="s">
        <v>155</v>
      </c>
      <c r="H183" t="s">
        <v>100</v>
      </c>
      <c r="I183" t="s">
        <v>146</v>
      </c>
      <c r="J183" t="s">
        <v>153</v>
      </c>
      <c r="K183" t="s">
        <v>147</v>
      </c>
      <c r="L183" t="s">
        <v>157</v>
      </c>
      <c r="M183">
        <v>3</v>
      </c>
      <c r="N183" t="s">
        <v>149</v>
      </c>
      <c r="O183" t="s">
        <v>149</v>
      </c>
      <c r="P183" t="s">
        <v>149</v>
      </c>
      <c r="Q183" t="s">
        <v>150</v>
      </c>
      <c r="R183" t="s">
        <v>150</v>
      </c>
      <c r="S183" t="s">
        <v>149</v>
      </c>
      <c r="T183">
        <v>0</v>
      </c>
      <c r="U183">
        <v>8</v>
      </c>
      <c r="V183">
        <v>9</v>
      </c>
      <c r="W183">
        <v>10</v>
      </c>
    </row>
    <row r="184" spans="1:23">
      <c r="A184">
        <v>167</v>
      </c>
      <c r="B184" t="s">
        <v>151</v>
      </c>
      <c r="C184" t="s">
        <v>162</v>
      </c>
      <c r="D184">
        <v>16</v>
      </c>
      <c r="E184" t="s">
        <v>40</v>
      </c>
      <c r="F184" t="s">
        <v>144</v>
      </c>
      <c r="G184" t="s">
        <v>145</v>
      </c>
      <c r="H184" t="s">
        <v>100</v>
      </c>
      <c r="I184" t="s">
        <v>100</v>
      </c>
      <c r="J184" t="s">
        <v>147</v>
      </c>
      <c r="K184" t="s">
        <v>147</v>
      </c>
      <c r="L184" t="s">
        <v>148</v>
      </c>
      <c r="M184">
        <v>0</v>
      </c>
      <c r="N184" t="s">
        <v>149</v>
      </c>
      <c r="O184" t="s">
        <v>149</v>
      </c>
      <c r="P184" t="s">
        <v>149</v>
      </c>
      <c r="Q184" t="s">
        <v>150</v>
      </c>
      <c r="R184" t="s">
        <v>150</v>
      </c>
      <c r="S184" t="s">
        <v>149</v>
      </c>
      <c r="T184">
        <v>4</v>
      </c>
      <c r="U184">
        <v>10</v>
      </c>
      <c r="V184">
        <v>10</v>
      </c>
      <c r="W184">
        <v>10</v>
      </c>
    </row>
    <row r="185" spans="1:23">
      <c r="A185">
        <v>328</v>
      </c>
      <c r="B185" t="s">
        <v>151</v>
      </c>
      <c r="C185" t="s">
        <v>162</v>
      </c>
      <c r="D185">
        <v>17</v>
      </c>
      <c r="E185" t="s">
        <v>41</v>
      </c>
      <c r="F185" t="s">
        <v>144</v>
      </c>
      <c r="G185" t="s">
        <v>145</v>
      </c>
      <c r="H185" t="s">
        <v>100</v>
      </c>
      <c r="I185" t="s">
        <v>100</v>
      </c>
      <c r="J185" t="s">
        <v>153</v>
      </c>
      <c r="K185" t="s">
        <v>147</v>
      </c>
      <c r="L185" t="s">
        <v>157</v>
      </c>
      <c r="M185">
        <v>0</v>
      </c>
      <c r="N185" t="s">
        <v>149</v>
      </c>
      <c r="O185" t="s">
        <v>149</v>
      </c>
      <c r="P185" t="s">
        <v>149</v>
      </c>
      <c r="Q185" t="s">
        <v>150</v>
      </c>
      <c r="R185" t="s">
        <v>150</v>
      </c>
      <c r="S185" t="s">
        <v>149</v>
      </c>
      <c r="T185">
        <v>8</v>
      </c>
      <c r="U185">
        <v>11</v>
      </c>
      <c r="V185">
        <v>10</v>
      </c>
      <c r="W185">
        <v>10</v>
      </c>
    </row>
    <row r="186" spans="1:23">
      <c r="A186">
        <v>53</v>
      </c>
      <c r="B186" t="s">
        <v>151</v>
      </c>
      <c r="C186" t="s">
        <v>162</v>
      </c>
      <c r="D186">
        <v>15</v>
      </c>
      <c r="E186" t="s">
        <v>40</v>
      </c>
      <c r="F186" t="s">
        <v>152</v>
      </c>
      <c r="G186" t="s">
        <v>155</v>
      </c>
      <c r="H186" t="s">
        <v>101</v>
      </c>
      <c r="I186" t="s">
        <v>100</v>
      </c>
      <c r="J186" t="s">
        <v>159</v>
      </c>
      <c r="K186" t="s">
        <v>159</v>
      </c>
      <c r="L186" t="s">
        <v>157</v>
      </c>
      <c r="M186">
        <v>1</v>
      </c>
      <c r="N186" t="s">
        <v>149</v>
      </c>
      <c r="O186" t="s">
        <v>149</v>
      </c>
      <c r="P186" t="s">
        <v>149</v>
      </c>
      <c r="Q186" t="s">
        <v>150</v>
      </c>
      <c r="R186" t="s">
        <v>149</v>
      </c>
      <c r="S186" t="s">
        <v>149</v>
      </c>
      <c r="T186">
        <v>6</v>
      </c>
      <c r="U186">
        <v>11</v>
      </c>
      <c r="V186">
        <v>11</v>
      </c>
      <c r="W186">
        <v>10</v>
      </c>
    </row>
    <row r="187" spans="1:23">
      <c r="A187">
        <v>269</v>
      </c>
      <c r="B187" t="s">
        <v>151</v>
      </c>
      <c r="C187" t="s">
        <v>162</v>
      </c>
      <c r="D187">
        <v>18</v>
      </c>
      <c r="E187" t="s">
        <v>40</v>
      </c>
      <c r="F187" t="s">
        <v>144</v>
      </c>
      <c r="G187" t="s">
        <v>145</v>
      </c>
      <c r="H187" t="s">
        <v>101</v>
      </c>
      <c r="I187" t="s">
        <v>100</v>
      </c>
      <c r="J187" t="s">
        <v>159</v>
      </c>
      <c r="K187" t="s">
        <v>147</v>
      </c>
      <c r="L187" t="s">
        <v>148</v>
      </c>
      <c r="M187">
        <v>0</v>
      </c>
      <c r="N187" t="s">
        <v>149</v>
      </c>
      <c r="O187" t="s">
        <v>150</v>
      </c>
      <c r="P187" t="s">
        <v>150</v>
      </c>
      <c r="Q187" t="s">
        <v>150</v>
      </c>
      <c r="R187" t="s">
        <v>150</v>
      </c>
      <c r="S187" t="s">
        <v>150</v>
      </c>
      <c r="T187">
        <v>10</v>
      </c>
      <c r="U187">
        <v>10</v>
      </c>
      <c r="V187">
        <v>9</v>
      </c>
      <c r="W187">
        <v>10</v>
      </c>
    </row>
    <row r="188" spans="1:23">
      <c r="A188">
        <v>239</v>
      </c>
      <c r="B188" t="s">
        <v>151</v>
      </c>
      <c r="C188" t="s">
        <v>143</v>
      </c>
      <c r="D188">
        <v>17</v>
      </c>
      <c r="E188" t="s">
        <v>41</v>
      </c>
      <c r="F188" t="s">
        <v>144</v>
      </c>
      <c r="G188" t="s">
        <v>145</v>
      </c>
      <c r="H188" t="s">
        <v>100</v>
      </c>
      <c r="I188" t="s">
        <v>146</v>
      </c>
      <c r="J188" t="s">
        <v>156</v>
      </c>
      <c r="K188" t="s">
        <v>153</v>
      </c>
      <c r="L188" t="s">
        <v>148</v>
      </c>
      <c r="M188">
        <v>0</v>
      </c>
      <c r="N188" t="s">
        <v>149</v>
      </c>
      <c r="O188" t="s">
        <v>149</v>
      </c>
      <c r="P188" t="s">
        <v>150</v>
      </c>
      <c r="Q188" t="s">
        <v>150</v>
      </c>
      <c r="R188" t="s">
        <v>149</v>
      </c>
      <c r="S188" t="s">
        <v>149</v>
      </c>
      <c r="T188">
        <v>2</v>
      </c>
      <c r="U188">
        <v>13</v>
      </c>
      <c r="V188">
        <v>11</v>
      </c>
      <c r="W188">
        <v>11</v>
      </c>
    </row>
    <row r="189" spans="1:23">
      <c r="A189">
        <v>134</v>
      </c>
      <c r="B189" t="s">
        <v>151</v>
      </c>
      <c r="C189" t="s">
        <v>143</v>
      </c>
      <c r="D189">
        <v>16</v>
      </c>
      <c r="E189" t="s">
        <v>40</v>
      </c>
      <c r="F189" t="s">
        <v>144</v>
      </c>
      <c r="G189" t="s">
        <v>155</v>
      </c>
      <c r="H189" t="s">
        <v>158</v>
      </c>
      <c r="I189" t="s">
        <v>101</v>
      </c>
      <c r="J189" t="s">
        <v>153</v>
      </c>
      <c r="K189" t="s">
        <v>147</v>
      </c>
      <c r="L189" t="s">
        <v>157</v>
      </c>
      <c r="M189">
        <v>0</v>
      </c>
      <c r="N189" t="s">
        <v>149</v>
      </c>
      <c r="O189" t="s">
        <v>149</v>
      </c>
      <c r="P189" t="s">
        <v>149</v>
      </c>
      <c r="Q189" t="s">
        <v>150</v>
      </c>
      <c r="R189" t="s">
        <v>150</v>
      </c>
      <c r="S189" t="s">
        <v>149</v>
      </c>
      <c r="T189">
        <v>16</v>
      </c>
      <c r="U189">
        <v>12</v>
      </c>
      <c r="V189">
        <v>11</v>
      </c>
      <c r="W189">
        <v>11</v>
      </c>
    </row>
    <row r="190" spans="1:23">
      <c r="A190">
        <v>323</v>
      </c>
      <c r="B190" t="s">
        <v>151</v>
      </c>
      <c r="C190" t="s">
        <v>143</v>
      </c>
      <c r="D190">
        <v>17</v>
      </c>
      <c r="E190" t="s">
        <v>41</v>
      </c>
      <c r="F190" t="s">
        <v>152</v>
      </c>
      <c r="G190" t="s">
        <v>145</v>
      </c>
      <c r="H190" t="s">
        <v>100</v>
      </c>
      <c r="I190" t="s">
        <v>100</v>
      </c>
      <c r="J190" t="s">
        <v>153</v>
      </c>
      <c r="K190" t="s">
        <v>153</v>
      </c>
      <c r="L190" t="s">
        <v>161</v>
      </c>
      <c r="M190">
        <v>0</v>
      </c>
      <c r="N190" t="s">
        <v>149</v>
      </c>
      <c r="O190" t="s">
        <v>150</v>
      </c>
      <c r="P190" t="s">
        <v>150</v>
      </c>
      <c r="Q190" t="s">
        <v>150</v>
      </c>
      <c r="R190" t="s">
        <v>150</v>
      </c>
      <c r="S190" t="s">
        <v>149</v>
      </c>
      <c r="T190">
        <v>3</v>
      </c>
      <c r="U190">
        <v>11</v>
      </c>
      <c r="V190">
        <v>11</v>
      </c>
      <c r="W190">
        <v>11</v>
      </c>
    </row>
    <row r="191" spans="1:23">
      <c r="A191">
        <v>370</v>
      </c>
      <c r="B191" t="s">
        <v>142</v>
      </c>
      <c r="C191" t="s">
        <v>143</v>
      </c>
      <c r="D191">
        <v>18</v>
      </c>
      <c r="E191" t="s">
        <v>41</v>
      </c>
      <c r="F191" t="s">
        <v>144</v>
      </c>
      <c r="G191" t="s">
        <v>145</v>
      </c>
      <c r="H191" t="s">
        <v>101</v>
      </c>
      <c r="I191" t="s">
        <v>101</v>
      </c>
      <c r="J191" t="s">
        <v>147</v>
      </c>
      <c r="K191" t="s">
        <v>160</v>
      </c>
      <c r="L191" t="s">
        <v>148</v>
      </c>
      <c r="M191">
        <v>0</v>
      </c>
      <c r="N191" t="s">
        <v>149</v>
      </c>
      <c r="O191" t="s">
        <v>150</v>
      </c>
      <c r="P191" t="s">
        <v>149</v>
      </c>
      <c r="Q191" t="s">
        <v>149</v>
      </c>
      <c r="R191" t="s">
        <v>150</v>
      </c>
      <c r="S191" t="s">
        <v>150</v>
      </c>
      <c r="T191">
        <v>10</v>
      </c>
      <c r="U191">
        <v>14</v>
      </c>
      <c r="V191">
        <v>12</v>
      </c>
      <c r="W191">
        <v>11</v>
      </c>
    </row>
    <row r="192" spans="1:23">
      <c r="A192">
        <v>316</v>
      </c>
      <c r="B192" t="s">
        <v>151</v>
      </c>
      <c r="C192" t="s">
        <v>143</v>
      </c>
      <c r="D192">
        <v>19</v>
      </c>
      <c r="E192" t="s">
        <v>41</v>
      </c>
      <c r="F192" t="s">
        <v>144</v>
      </c>
      <c r="G192" t="s">
        <v>145</v>
      </c>
      <c r="H192" t="s">
        <v>100</v>
      </c>
      <c r="I192" t="s">
        <v>158</v>
      </c>
      <c r="J192" t="s">
        <v>147</v>
      </c>
      <c r="K192" t="s">
        <v>147</v>
      </c>
      <c r="L192" t="s">
        <v>161</v>
      </c>
      <c r="M192">
        <v>1</v>
      </c>
      <c r="N192" t="s">
        <v>149</v>
      </c>
      <c r="O192" t="s">
        <v>149</v>
      </c>
      <c r="P192" t="s">
        <v>149</v>
      </c>
      <c r="Q192" t="s">
        <v>150</v>
      </c>
      <c r="R192" t="s">
        <v>150</v>
      </c>
      <c r="S192" t="s">
        <v>150</v>
      </c>
      <c r="T192">
        <v>40</v>
      </c>
      <c r="U192">
        <v>13</v>
      </c>
      <c r="V192">
        <v>11</v>
      </c>
      <c r="W192">
        <v>11</v>
      </c>
    </row>
    <row r="193" spans="1:23">
      <c r="A193">
        <v>143</v>
      </c>
      <c r="B193" t="s">
        <v>151</v>
      </c>
      <c r="C193" t="s">
        <v>143</v>
      </c>
      <c r="D193">
        <v>15</v>
      </c>
      <c r="E193" t="s">
        <v>40</v>
      </c>
      <c r="F193" t="s">
        <v>144</v>
      </c>
      <c r="G193" t="s">
        <v>145</v>
      </c>
      <c r="H193" t="s">
        <v>101</v>
      </c>
      <c r="I193" t="s">
        <v>101</v>
      </c>
      <c r="J193" t="s">
        <v>160</v>
      </c>
      <c r="K193" t="s">
        <v>153</v>
      </c>
      <c r="L193" t="s">
        <v>161</v>
      </c>
      <c r="M193">
        <v>0</v>
      </c>
      <c r="N193" t="s">
        <v>149</v>
      </c>
      <c r="O193" t="s">
        <v>150</v>
      </c>
      <c r="P193" t="s">
        <v>150</v>
      </c>
      <c r="Q193" t="s">
        <v>150</v>
      </c>
      <c r="R193" t="s">
        <v>150</v>
      </c>
      <c r="S193" t="s">
        <v>149</v>
      </c>
      <c r="T193">
        <v>2</v>
      </c>
      <c r="U193">
        <v>9</v>
      </c>
      <c r="V193">
        <v>11</v>
      </c>
      <c r="W193">
        <v>11</v>
      </c>
    </row>
    <row r="194" spans="1:23">
      <c r="A194">
        <v>146</v>
      </c>
      <c r="B194" t="s">
        <v>151</v>
      </c>
      <c r="C194" t="s">
        <v>143</v>
      </c>
      <c r="D194">
        <v>15</v>
      </c>
      <c r="E194" t="s">
        <v>40</v>
      </c>
      <c r="F194" t="s">
        <v>144</v>
      </c>
      <c r="G194" t="s">
        <v>145</v>
      </c>
      <c r="H194" t="s">
        <v>146</v>
      </c>
      <c r="I194" t="s">
        <v>146</v>
      </c>
      <c r="J194" t="s">
        <v>147</v>
      </c>
      <c r="K194" t="s">
        <v>153</v>
      </c>
      <c r="L194" t="s">
        <v>148</v>
      </c>
      <c r="M194">
        <v>0</v>
      </c>
      <c r="N194" t="s">
        <v>149</v>
      </c>
      <c r="O194" t="s">
        <v>150</v>
      </c>
      <c r="P194" t="s">
        <v>149</v>
      </c>
      <c r="Q194" t="s">
        <v>150</v>
      </c>
      <c r="R194" t="s">
        <v>150</v>
      </c>
      <c r="S194" t="s">
        <v>149</v>
      </c>
      <c r="T194">
        <v>0</v>
      </c>
      <c r="U194">
        <v>8</v>
      </c>
      <c r="V194">
        <v>11</v>
      </c>
      <c r="W194">
        <v>11</v>
      </c>
    </row>
    <row r="195" spans="1:23">
      <c r="A195">
        <v>148</v>
      </c>
      <c r="B195" t="s">
        <v>151</v>
      </c>
      <c r="C195" t="s">
        <v>143</v>
      </c>
      <c r="D195">
        <v>15</v>
      </c>
      <c r="E195" t="s">
        <v>40</v>
      </c>
      <c r="F195" t="s">
        <v>144</v>
      </c>
      <c r="G195" t="s">
        <v>145</v>
      </c>
      <c r="H195" t="s">
        <v>146</v>
      </c>
      <c r="I195" t="s">
        <v>100</v>
      </c>
      <c r="J195" t="s">
        <v>156</v>
      </c>
      <c r="K195" t="s">
        <v>147</v>
      </c>
      <c r="L195" t="s">
        <v>148</v>
      </c>
      <c r="M195">
        <v>0</v>
      </c>
      <c r="N195" t="s">
        <v>149</v>
      </c>
      <c r="O195" t="s">
        <v>150</v>
      </c>
      <c r="P195" t="s">
        <v>149</v>
      </c>
      <c r="Q195" t="s">
        <v>149</v>
      </c>
      <c r="R195" t="s">
        <v>150</v>
      </c>
      <c r="S195" t="s">
        <v>149</v>
      </c>
      <c r="T195">
        <v>2</v>
      </c>
      <c r="U195">
        <v>10</v>
      </c>
      <c r="V195">
        <v>11</v>
      </c>
      <c r="W195">
        <v>11</v>
      </c>
    </row>
    <row r="196" spans="1:23">
      <c r="A196">
        <v>39</v>
      </c>
      <c r="B196" t="s">
        <v>151</v>
      </c>
      <c r="C196" t="s">
        <v>143</v>
      </c>
      <c r="D196">
        <v>15</v>
      </c>
      <c r="E196" t="s">
        <v>41</v>
      </c>
      <c r="F196" t="s">
        <v>144</v>
      </c>
      <c r="G196" t="s">
        <v>145</v>
      </c>
      <c r="H196" t="s">
        <v>158</v>
      </c>
      <c r="I196" t="s">
        <v>101</v>
      </c>
      <c r="J196" t="s">
        <v>153</v>
      </c>
      <c r="K196" t="s">
        <v>159</v>
      </c>
      <c r="L196" t="s">
        <v>161</v>
      </c>
      <c r="M196">
        <v>0</v>
      </c>
      <c r="N196" t="s">
        <v>150</v>
      </c>
      <c r="O196" t="s">
        <v>150</v>
      </c>
      <c r="P196" t="s">
        <v>150</v>
      </c>
      <c r="Q196" t="s">
        <v>150</v>
      </c>
      <c r="R196" t="s">
        <v>150</v>
      </c>
      <c r="S196" t="s">
        <v>149</v>
      </c>
      <c r="T196">
        <v>2</v>
      </c>
      <c r="U196">
        <v>12</v>
      </c>
      <c r="V196">
        <v>12</v>
      </c>
      <c r="W196">
        <v>11</v>
      </c>
    </row>
    <row r="197" spans="1:23">
      <c r="A197">
        <v>314</v>
      </c>
      <c r="B197" t="s">
        <v>151</v>
      </c>
      <c r="C197" t="s">
        <v>143</v>
      </c>
      <c r="D197">
        <v>19</v>
      </c>
      <c r="E197" t="s">
        <v>40</v>
      </c>
      <c r="F197" t="s">
        <v>152</v>
      </c>
      <c r="G197" t="s">
        <v>145</v>
      </c>
      <c r="H197" t="s">
        <v>158</v>
      </c>
      <c r="I197" t="s">
        <v>100</v>
      </c>
      <c r="J197" t="s">
        <v>153</v>
      </c>
      <c r="K197" t="s">
        <v>147</v>
      </c>
      <c r="L197" t="s">
        <v>148</v>
      </c>
      <c r="M197">
        <v>1</v>
      </c>
      <c r="N197" t="s">
        <v>149</v>
      </c>
      <c r="O197" t="s">
        <v>150</v>
      </c>
      <c r="P197" t="s">
        <v>149</v>
      </c>
      <c r="Q197" t="s">
        <v>149</v>
      </c>
      <c r="R197" t="s">
        <v>150</v>
      </c>
      <c r="S197" t="s">
        <v>150</v>
      </c>
      <c r="T197">
        <v>22</v>
      </c>
      <c r="U197">
        <v>13</v>
      </c>
      <c r="V197">
        <v>10</v>
      </c>
      <c r="W197">
        <v>11</v>
      </c>
    </row>
    <row r="198" spans="1:23">
      <c r="A198">
        <v>127</v>
      </c>
      <c r="B198" t="s">
        <v>151</v>
      </c>
      <c r="C198" t="s">
        <v>143</v>
      </c>
      <c r="D198">
        <v>15</v>
      </c>
      <c r="E198" t="s">
        <v>40</v>
      </c>
      <c r="F198" t="s">
        <v>152</v>
      </c>
      <c r="G198" t="s">
        <v>155</v>
      </c>
      <c r="H198" t="s">
        <v>158</v>
      </c>
      <c r="I198" t="s">
        <v>101</v>
      </c>
      <c r="J198" t="s">
        <v>147</v>
      </c>
      <c r="K198" t="s">
        <v>147</v>
      </c>
      <c r="L198" t="s">
        <v>148</v>
      </c>
      <c r="M198">
        <v>0</v>
      </c>
      <c r="N198" t="s">
        <v>150</v>
      </c>
      <c r="O198" t="s">
        <v>149</v>
      </c>
      <c r="P198" t="s">
        <v>150</v>
      </c>
      <c r="Q198" t="s">
        <v>150</v>
      </c>
      <c r="R198" t="s">
        <v>150</v>
      </c>
      <c r="S198" t="s">
        <v>150</v>
      </c>
      <c r="T198">
        <v>0</v>
      </c>
      <c r="U198">
        <v>7</v>
      </c>
      <c r="V198">
        <v>10</v>
      </c>
      <c r="W198">
        <v>11</v>
      </c>
    </row>
    <row r="199" spans="1:23">
      <c r="A199">
        <v>358</v>
      </c>
      <c r="B199" t="s">
        <v>142</v>
      </c>
      <c r="C199" t="s">
        <v>143</v>
      </c>
      <c r="D199">
        <v>17</v>
      </c>
      <c r="E199" t="s">
        <v>40</v>
      </c>
      <c r="F199" t="s">
        <v>152</v>
      </c>
      <c r="G199" t="s">
        <v>155</v>
      </c>
      <c r="H199" t="s">
        <v>158</v>
      </c>
      <c r="I199" t="s">
        <v>100</v>
      </c>
      <c r="J199" t="s">
        <v>153</v>
      </c>
      <c r="K199" t="s">
        <v>147</v>
      </c>
      <c r="L199" t="s">
        <v>148</v>
      </c>
      <c r="M199">
        <v>0</v>
      </c>
      <c r="N199" t="s">
        <v>149</v>
      </c>
      <c r="O199" t="s">
        <v>149</v>
      </c>
      <c r="P199" t="s">
        <v>149</v>
      </c>
      <c r="Q199" t="s">
        <v>150</v>
      </c>
      <c r="R199" t="s">
        <v>149</v>
      </c>
      <c r="S199" t="s">
        <v>150</v>
      </c>
      <c r="T199">
        <v>2</v>
      </c>
      <c r="U199">
        <v>12</v>
      </c>
      <c r="V199">
        <v>12</v>
      </c>
      <c r="W199">
        <v>11</v>
      </c>
    </row>
    <row r="200" spans="1:23">
      <c r="A200">
        <v>41</v>
      </c>
      <c r="B200" t="s">
        <v>151</v>
      </c>
      <c r="C200" t="s">
        <v>143</v>
      </c>
      <c r="D200">
        <v>16</v>
      </c>
      <c r="E200" t="s">
        <v>40</v>
      </c>
      <c r="F200" t="s">
        <v>152</v>
      </c>
      <c r="G200" t="s">
        <v>145</v>
      </c>
      <c r="H200" t="s">
        <v>100</v>
      </c>
      <c r="I200" t="s">
        <v>100</v>
      </c>
      <c r="J200" t="s">
        <v>147</v>
      </c>
      <c r="K200" t="s">
        <v>147</v>
      </c>
      <c r="L200" t="s">
        <v>148</v>
      </c>
      <c r="M200">
        <v>1</v>
      </c>
      <c r="N200" t="s">
        <v>149</v>
      </c>
      <c r="O200" t="s">
        <v>149</v>
      </c>
      <c r="P200" t="s">
        <v>150</v>
      </c>
      <c r="Q200" t="s">
        <v>149</v>
      </c>
      <c r="R200" t="s">
        <v>150</v>
      </c>
      <c r="S200" t="s">
        <v>150</v>
      </c>
      <c r="T200">
        <v>25</v>
      </c>
      <c r="U200">
        <v>7</v>
      </c>
      <c r="V200">
        <v>10</v>
      </c>
      <c r="W200">
        <v>11</v>
      </c>
    </row>
    <row r="201" spans="1:23">
      <c r="A201">
        <v>373</v>
      </c>
      <c r="B201" t="s">
        <v>142</v>
      </c>
      <c r="C201" t="s">
        <v>143</v>
      </c>
      <c r="D201">
        <v>17</v>
      </c>
      <c r="E201" t="s">
        <v>40</v>
      </c>
      <c r="F201" t="s">
        <v>144</v>
      </c>
      <c r="G201" t="s">
        <v>145</v>
      </c>
      <c r="H201" t="s">
        <v>100</v>
      </c>
      <c r="I201" t="s">
        <v>100</v>
      </c>
      <c r="J201" t="s">
        <v>147</v>
      </c>
      <c r="K201" t="s">
        <v>156</v>
      </c>
      <c r="L201" t="s">
        <v>161</v>
      </c>
      <c r="M201">
        <v>0</v>
      </c>
      <c r="N201" t="s">
        <v>149</v>
      </c>
      <c r="O201" t="s">
        <v>149</v>
      </c>
      <c r="P201" t="s">
        <v>150</v>
      </c>
      <c r="Q201" t="s">
        <v>150</v>
      </c>
      <c r="R201" t="s">
        <v>149</v>
      </c>
      <c r="S201" t="s">
        <v>150</v>
      </c>
      <c r="T201">
        <v>8</v>
      </c>
      <c r="U201">
        <v>13</v>
      </c>
      <c r="V201">
        <v>11</v>
      </c>
      <c r="W201">
        <v>11</v>
      </c>
    </row>
    <row r="202" spans="1:23">
      <c r="A202">
        <v>273</v>
      </c>
      <c r="B202" t="s">
        <v>151</v>
      </c>
      <c r="C202" t="s">
        <v>143</v>
      </c>
      <c r="D202">
        <v>18</v>
      </c>
      <c r="E202" t="s">
        <v>40</v>
      </c>
      <c r="F202" t="s">
        <v>152</v>
      </c>
      <c r="G202" t="s">
        <v>145</v>
      </c>
      <c r="H202" t="s">
        <v>146</v>
      </c>
      <c r="I202" t="s">
        <v>146</v>
      </c>
      <c r="J202" t="s">
        <v>147</v>
      </c>
      <c r="K202" t="s">
        <v>147</v>
      </c>
      <c r="L202" t="s">
        <v>148</v>
      </c>
      <c r="M202">
        <v>0</v>
      </c>
      <c r="N202" t="s">
        <v>149</v>
      </c>
      <c r="O202" t="s">
        <v>150</v>
      </c>
      <c r="P202" t="s">
        <v>149</v>
      </c>
      <c r="Q202" t="s">
        <v>149</v>
      </c>
      <c r="R202" t="s">
        <v>149</v>
      </c>
      <c r="S202" t="s">
        <v>149</v>
      </c>
      <c r="T202">
        <v>2</v>
      </c>
      <c r="U202">
        <v>11</v>
      </c>
      <c r="V202">
        <v>11</v>
      </c>
      <c r="W202">
        <v>11</v>
      </c>
    </row>
    <row r="203" spans="1:23">
      <c r="A203">
        <v>75</v>
      </c>
      <c r="B203" t="s">
        <v>151</v>
      </c>
      <c r="C203" t="s">
        <v>143</v>
      </c>
      <c r="D203">
        <v>16</v>
      </c>
      <c r="E203" t="s">
        <v>40</v>
      </c>
      <c r="F203" t="s">
        <v>144</v>
      </c>
      <c r="G203" t="s">
        <v>145</v>
      </c>
      <c r="H203" t="s">
        <v>158</v>
      </c>
      <c r="I203" t="s">
        <v>158</v>
      </c>
      <c r="J203" t="s">
        <v>147</v>
      </c>
      <c r="K203" t="s">
        <v>153</v>
      </c>
      <c r="L203" t="s">
        <v>148</v>
      </c>
      <c r="M203">
        <v>0</v>
      </c>
      <c r="N203" t="s">
        <v>150</v>
      </c>
      <c r="O203" t="s">
        <v>150</v>
      </c>
      <c r="P203" t="s">
        <v>150</v>
      </c>
      <c r="Q203" t="s">
        <v>150</v>
      </c>
      <c r="R203" t="s">
        <v>150</v>
      </c>
      <c r="S203" t="s">
        <v>149</v>
      </c>
      <c r="T203">
        <v>54</v>
      </c>
      <c r="U203">
        <v>11</v>
      </c>
      <c r="V203">
        <v>12</v>
      </c>
      <c r="W203">
        <v>11</v>
      </c>
    </row>
    <row r="204" spans="1:23">
      <c r="A204">
        <v>106</v>
      </c>
      <c r="B204" t="s">
        <v>151</v>
      </c>
      <c r="C204" t="s">
        <v>143</v>
      </c>
      <c r="D204">
        <v>15</v>
      </c>
      <c r="E204" t="s">
        <v>40</v>
      </c>
      <c r="F204" t="s">
        <v>144</v>
      </c>
      <c r="G204" t="s">
        <v>155</v>
      </c>
      <c r="H204" t="s">
        <v>158</v>
      </c>
      <c r="I204" t="s">
        <v>158</v>
      </c>
      <c r="J204" t="s">
        <v>147</v>
      </c>
      <c r="K204" t="s">
        <v>159</v>
      </c>
      <c r="L204" t="s">
        <v>154</v>
      </c>
      <c r="M204">
        <v>0</v>
      </c>
      <c r="N204" t="s">
        <v>150</v>
      </c>
      <c r="O204" t="s">
        <v>149</v>
      </c>
      <c r="P204" t="s">
        <v>149</v>
      </c>
      <c r="Q204" t="s">
        <v>150</v>
      </c>
      <c r="R204" t="s">
        <v>149</v>
      </c>
      <c r="S204" t="s">
        <v>149</v>
      </c>
      <c r="T204">
        <v>10</v>
      </c>
      <c r="U204">
        <v>10</v>
      </c>
      <c r="V204">
        <v>11</v>
      </c>
      <c r="W204">
        <v>11</v>
      </c>
    </row>
    <row r="205" spans="1:23">
      <c r="A205">
        <v>78</v>
      </c>
      <c r="B205" t="s">
        <v>151</v>
      </c>
      <c r="C205" t="s">
        <v>143</v>
      </c>
      <c r="D205">
        <v>16</v>
      </c>
      <c r="E205" t="s">
        <v>40</v>
      </c>
      <c r="F205" t="s">
        <v>144</v>
      </c>
      <c r="G205" t="s">
        <v>145</v>
      </c>
      <c r="H205" t="s">
        <v>100</v>
      </c>
      <c r="I205" t="s">
        <v>100</v>
      </c>
      <c r="J205" t="s">
        <v>147</v>
      </c>
      <c r="K205" t="s">
        <v>147</v>
      </c>
      <c r="L205" t="s">
        <v>154</v>
      </c>
      <c r="M205">
        <v>0</v>
      </c>
      <c r="N205" t="s">
        <v>149</v>
      </c>
      <c r="O205" t="s">
        <v>150</v>
      </c>
      <c r="P205" t="s">
        <v>149</v>
      </c>
      <c r="Q205" t="s">
        <v>150</v>
      </c>
      <c r="R205" t="s">
        <v>150</v>
      </c>
      <c r="S205" t="s">
        <v>150</v>
      </c>
      <c r="T205">
        <v>0</v>
      </c>
      <c r="U205">
        <v>11</v>
      </c>
      <c r="V205">
        <v>11</v>
      </c>
      <c r="W205">
        <v>11</v>
      </c>
    </row>
    <row r="206" spans="1:23">
      <c r="A206">
        <v>61</v>
      </c>
      <c r="B206" t="s">
        <v>151</v>
      </c>
      <c r="C206" t="s">
        <v>143</v>
      </c>
      <c r="D206">
        <v>16</v>
      </c>
      <c r="E206" t="s">
        <v>41</v>
      </c>
      <c r="F206" t="s">
        <v>144</v>
      </c>
      <c r="G206" t="s">
        <v>145</v>
      </c>
      <c r="H206" t="s">
        <v>101</v>
      </c>
      <c r="I206" t="s">
        <v>101</v>
      </c>
      <c r="J206" t="s">
        <v>159</v>
      </c>
      <c r="K206" t="s">
        <v>160</v>
      </c>
      <c r="L206" t="s">
        <v>148</v>
      </c>
      <c r="M206">
        <v>0</v>
      </c>
      <c r="N206" t="s">
        <v>149</v>
      </c>
      <c r="O206" t="s">
        <v>149</v>
      </c>
      <c r="P206" t="s">
        <v>150</v>
      </c>
      <c r="Q206" t="s">
        <v>150</v>
      </c>
      <c r="R206" t="s">
        <v>149</v>
      </c>
      <c r="S206" t="s">
        <v>149</v>
      </c>
      <c r="T206">
        <v>6</v>
      </c>
      <c r="U206">
        <v>10</v>
      </c>
      <c r="V206">
        <v>11</v>
      </c>
      <c r="W206">
        <v>11</v>
      </c>
    </row>
    <row r="207" spans="1:23">
      <c r="A207">
        <v>177</v>
      </c>
      <c r="B207" t="s">
        <v>151</v>
      </c>
      <c r="C207" t="s">
        <v>143</v>
      </c>
      <c r="D207">
        <v>16</v>
      </c>
      <c r="E207" t="s">
        <v>40</v>
      </c>
      <c r="F207" t="s">
        <v>144</v>
      </c>
      <c r="G207" t="s">
        <v>145</v>
      </c>
      <c r="H207" t="s">
        <v>100</v>
      </c>
      <c r="I207" t="s">
        <v>100</v>
      </c>
      <c r="J207" t="s">
        <v>153</v>
      </c>
      <c r="K207" t="s">
        <v>147</v>
      </c>
      <c r="L207" t="s">
        <v>148</v>
      </c>
      <c r="M207">
        <v>0</v>
      </c>
      <c r="N207" t="s">
        <v>149</v>
      </c>
      <c r="O207" t="s">
        <v>150</v>
      </c>
      <c r="P207" t="s">
        <v>150</v>
      </c>
      <c r="Q207" t="s">
        <v>149</v>
      </c>
      <c r="R207" t="s">
        <v>150</v>
      </c>
      <c r="S207" t="s">
        <v>149</v>
      </c>
      <c r="T207">
        <v>2</v>
      </c>
      <c r="U207">
        <v>13</v>
      </c>
      <c r="V207">
        <v>13</v>
      </c>
      <c r="W207">
        <v>11</v>
      </c>
    </row>
    <row r="208" spans="1:23">
      <c r="A208">
        <v>54</v>
      </c>
      <c r="B208" t="s">
        <v>151</v>
      </c>
      <c r="C208" t="s">
        <v>143</v>
      </c>
      <c r="D208">
        <v>15</v>
      </c>
      <c r="E208" t="s">
        <v>40</v>
      </c>
      <c r="F208" t="s">
        <v>144</v>
      </c>
      <c r="G208" t="s">
        <v>145</v>
      </c>
      <c r="H208" t="s">
        <v>101</v>
      </c>
      <c r="I208" t="s">
        <v>101</v>
      </c>
      <c r="J208" t="s">
        <v>153</v>
      </c>
      <c r="K208" t="s">
        <v>153</v>
      </c>
      <c r="L208" t="s">
        <v>157</v>
      </c>
      <c r="M208">
        <v>0</v>
      </c>
      <c r="N208" t="s">
        <v>150</v>
      </c>
      <c r="O208" t="s">
        <v>150</v>
      </c>
      <c r="P208" t="s">
        <v>149</v>
      </c>
      <c r="Q208" t="s">
        <v>150</v>
      </c>
      <c r="R208" t="s">
        <v>150</v>
      </c>
      <c r="S208" t="s">
        <v>149</v>
      </c>
      <c r="T208">
        <v>0</v>
      </c>
      <c r="U208">
        <v>8</v>
      </c>
      <c r="V208">
        <v>10</v>
      </c>
      <c r="W208">
        <v>11</v>
      </c>
    </row>
    <row r="209" spans="1:23">
      <c r="A209">
        <v>341</v>
      </c>
      <c r="B209" t="s">
        <v>151</v>
      </c>
      <c r="C209" t="s">
        <v>143</v>
      </c>
      <c r="D209">
        <v>19</v>
      </c>
      <c r="E209" t="s">
        <v>40</v>
      </c>
      <c r="F209" t="s">
        <v>144</v>
      </c>
      <c r="G209" t="s">
        <v>145</v>
      </c>
      <c r="H209" t="s">
        <v>100</v>
      </c>
      <c r="I209" t="s">
        <v>146</v>
      </c>
      <c r="J209" t="s">
        <v>153</v>
      </c>
      <c r="K209" t="s">
        <v>153</v>
      </c>
      <c r="L209" t="s">
        <v>161</v>
      </c>
      <c r="M209">
        <v>1</v>
      </c>
      <c r="N209" t="s">
        <v>149</v>
      </c>
      <c r="O209" t="s">
        <v>150</v>
      </c>
      <c r="P209" t="s">
        <v>150</v>
      </c>
      <c r="Q209" t="s">
        <v>150</v>
      </c>
      <c r="R209" t="s">
        <v>150</v>
      </c>
      <c r="S209" t="s">
        <v>150</v>
      </c>
      <c r="T209">
        <v>4</v>
      </c>
      <c r="U209">
        <v>11</v>
      </c>
      <c r="V209">
        <v>12</v>
      </c>
      <c r="W209">
        <v>11</v>
      </c>
    </row>
    <row r="210" spans="1:23">
      <c r="A210">
        <v>268</v>
      </c>
      <c r="B210" t="s">
        <v>151</v>
      </c>
      <c r="C210" t="s">
        <v>143</v>
      </c>
      <c r="D210">
        <v>18</v>
      </c>
      <c r="E210" t="s">
        <v>41</v>
      </c>
      <c r="F210" t="s">
        <v>144</v>
      </c>
      <c r="G210" t="s">
        <v>145</v>
      </c>
      <c r="H210" t="s">
        <v>101</v>
      </c>
      <c r="I210" t="s">
        <v>101</v>
      </c>
      <c r="J210" t="s">
        <v>160</v>
      </c>
      <c r="K210" t="s">
        <v>147</v>
      </c>
      <c r="L210" t="s">
        <v>148</v>
      </c>
      <c r="M210">
        <v>0</v>
      </c>
      <c r="N210" t="s">
        <v>149</v>
      </c>
      <c r="O210" t="s">
        <v>150</v>
      </c>
      <c r="P210" t="s">
        <v>150</v>
      </c>
      <c r="Q210" t="s">
        <v>150</v>
      </c>
      <c r="R210" t="s">
        <v>150</v>
      </c>
      <c r="S210" t="s">
        <v>149</v>
      </c>
      <c r="T210">
        <v>8</v>
      </c>
      <c r="U210">
        <v>12</v>
      </c>
      <c r="V210">
        <v>10</v>
      </c>
      <c r="W210">
        <v>11</v>
      </c>
    </row>
    <row r="211" spans="1:23">
      <c r="A211">
        <v>301</v>
      </c>
      <c r="B211" t="s">
        <v>151</v>
      </c>
      <c r="C211" t="s">
        <v>143</v>
      </c>
      <c r="D211">
        <v>18</v>
      </c>
      <c r="E211" t="s">
        <v>40</v>
      </c>
      <c r="F211" t="s">
        <v>152</v>
      </c>
      <c r="G211" t="s">
        <v>155</v>
      </c>
      <c r="H211" t="s">
        <v>101</v>
      </c>
      <c r="I211" t="s">
        <v>101</v>
      </c>
      <c r="J211" t="s">
        <v>159</v>
      </c>
      <c r="K211" t="s">
        <v>147</v>
      </c>
      <c r="L211" t="s">
        <v>148</v>
      </c>
      <c r="M211">
        <v>0</v>
      </c>
      <c r="N211" t="s">
        <v>149</v>
      </c>
      <c r="O211" t="s">
        <v>149</v>
      </c>
      <c r="P211" t="s">
        <v>149</v>
      </c>
      <c r="Q211" t="s">
        <v>150</v>
      </c>
      <c r="R211" t="s">
        <v>150</v>
      </c>
      <c r="S211" t="s">
        <v>150</v>
      </c>
      <c r="T211">
        <v>14</v>
      </c>
      <c r="U211">
        <v>12</v>
      </c>
      <c r="V211">
        <v>10</v>
      </c>
      <c r="W211">
        <v>11</v>
      </c>
    </row>
    <row r="212" spans="1:23">
      <c r="A212">
        <v>320</v>
      </c>
      <c r="B212" t="s">
        <v>151</v>
      </c>
      <c r="C212" t="s">
        <v>143</v>
      </c>
      <c r="D212">
        <v>18</v>
      </c>
      <c r="E212" t="s">
        <v>40</v>
      </c>
      <c r="F212" t="s">
        <v>144</v>
      </c>
      <c r="G212" t="s">
        <v>145</v>
      </c>
      <c r="H212" t="s">
        <v>101</v>
      </c>
      <c r="I212" t="s">
        <v>101</v>
      </c>
      <c r="J212" t="s">
        <v>160</v>
      </c>
      <c r="K212" t="s">
        <v>147</v>
      </c>
      <c r="L212" t="s">
        <v>148</v>
      </c>
      <c r="M212">
        <v>0</v>
      </c>
      <c r="N212" t="s">
        <v>149</v>
      </c>
      <c r="O212" t="s">
        <v>150</v>
      </c>
      <c r="P212" t="s">
        <v>149</v>
      </c>
      <c r="Q212" t="s">
        <v>150</v>
      </c>
      <c r="R212" t="s">
        <v>150</v>
      </c>
      <c r="S212" t="s">
        <v>149</v>
      </c>
      <c r="T212">
        <v>2</v>
      </c>
      <c r="U212">
        <v>11</v>
      </c>
      <c r="V212">
        <v>11</v>
      </c>
      <c r="W212">
        <v>11</v>
      </c>
    </row>
    <row r="213" spans="1:23">
      <c r="A213">
        <v>47</v>
      </c>
      <c r="B213" t="s">
        <v>151</v>
      </c>
      <c r="C213" t="s">
        <v>143</v>
      </c>
      <c r="D213">
        <v>16</v>
      </c>
      <c r="E213" t="s">
        <v>40</v>
      </c>
      <c r="F213" t="s">
        <v>152</v>
      </c>
      <c r="G213" t="s">
        <v>155</v>
      </c>
      <c r="H213" t="s">
        <v>158</v>
      </c>
      <c r="I213" t="s">
        <v>158</v>
      </c>
      <c r="J213" t="s">
        <v>147</v>
      </c>
      <c r="K213" t="s">
        <v>153</v>
      </c>
      <c r="L213" t="s">
        <v>148</v>
      </c>
      <c r="M213">
        <v>0</v>
      </c>
      <c r="N213" t="s">
        <v>149</v>
      </c>
      <c r="O213" t="s">
        <v>149</v>
      </c>
      <c r="P213" t="s">
        <v>149</v>
      </c>
      <c r="Q213" t="s">
        <v>150</v>
      </c>
      <c r="R213" t="s">
        <v>150</v>
      </c>
      <c r="S213" t="s">
        <v>149</v>
      </c>
      <c r="T213">
        <v>12</v>
      </c>
      <c r="U213">
        <v>11</v>
      </c>
      <c r="V213">
        <v>12</v>
      </c>
      <c r="W213">
        <v>11</v>
      </c>
    </row>
    <row r="214" spans="1:23">
      <c r="A214">
        <v>205</v>
      </c>
      <c r="B214" t="s">
        <v>151</v>
      </c>
      <c r="C214" t="s">
        <v>143</v>
      </c>
      <c r="D214">
        <v>16</v>
      </c>
      <c r="E214" t="s">
        <v>41</v>
      </c>
      <c r="F214" t="s">
        <v>144</v>
      </c>
      <c r="G214" t="s">
        <v>145</v>
      </c>
      <c r="H214" t="s">
        <v>100</v>
      </c>
      <c r="I214" t="s">
        <v>100</v>
      </c>
      <c r="J214" t="s">
        <v>153</v>
      </c>
      <c r="K214" t="s">
        <v>153</v>
      </c>
      <c r="L214" t="s">
        <v>154</v>
      </c>
      <c r="M214">
        <v>0</v>
      </c>
      <c r="N214" t="s">
        <v>149</v>
      </c>
      <c r="O214" t="s">
        <v>150</v>
      </c>
      <c r="P214" t="s">
        <v>150</v>
      </c>
      <c r="Q214" t="s">
        <v>149</v>
      </c>
      <c r="R214" t="s">
        <v>150</v>
      </c>
      <c r="S214" t="s">
        <v>149</v>
      </c>
      <c r="T214">
        <v>6</v>
      </c>
      <c r="U214">
        <v>10</v>
      </c>
      <c r="V214">
        <v>10</v>
      </c>
      <c r="W214">
        <v>11</v>
      </c>
    </row>
    <row r="215" spans="1:23">
      <c r="A215">
        <v>285</v>
      </c>
      <c r="B215" t="s">
        <v>151</v>
      </c>
      <c r="C215" t="s">
        <v>143</v>
      </c>
      <c r="D215">
        <v>17</v>
      </c>
      <c r="E215" t="s">
        <v>40</v>
      </c>
      <c r="F215" t="s">
        <v>144</v>
      </c>
      <c r="G215" t="s">
        <v>145</v>
      </c>
      <c r="H215" t="s">
        <v>100</v>
      </c>
      <c r="I215" t="s">
        <v>100</v>
      </c>
      <c r="J215" t="s">
        <v>147</v>
      </c>
      <c r="K215" t="s">
        <v>147</v>
      </c>
      <c r="L215" t="s">
        <v>148</v>
      </c>
      <c r="M215">
        <v>0</v>
      </c>
      <c r="N215" t="s">
        <v>149</v>
      </c>
      <c r="O215" t="s">
        <v>149</v>
      </c>
      <c r="P215" t="s">
        <v>149</v>
      </c>
      <c r="Q215" t="s">
        <v>149</v>
      </c>
      <c r="R215" t="s">
        <v>150</v>
      </c>
      <c r="S215" t="s">
        <v>149</v>
      </c>
      <c r="T215">
        <v>4</v>
      </c>
      <c r="U215">
        <v>10</v>
      </c>
      <c r="V215">
        <v>9</v>
      </c>
      <c r="W215">
        <v>11</v>
      </c>
    </row>
    <row r="216" spans="1:23">
      <c r="A216">
        <v>62</v>
      </c>
      <c r="B216" t="s">
        <v>151</v>
      </c>
      <c r="C216" t="s">
        <v>143</v>
      </c>
      <c r="D216">
        <v>16</v>
      </c>
      <c r="E216" t="s">
        <v>40</v>
      </c>
      <c r="F216" t="s">
        <v>144</v>
      </c>
      <c r="G216" t="s">
        <v>145</v>
      </c>
      <c r="H216" t="s">
        <v>146</v>
      </c>
      <c r="I216" t="s">
        <v>146</v>
      </c>
      <c r="J216" t="s">
        <v>153</v>
      </c>
      <c r="K216" t="s">
        <v>153</v>
      </c>
      <c r="L216" t="s">
        <v>157</v>
      </c>
      <c r="M216">
        <v>0</v>
      </c>
      <c r="N216" t="s">
        <v>150</v>
      </c>
      <c r="O216" t="s">
        <v>149</v>
      </c>
      <c r="P216" t="s">
        <v>150</v>
      </c>
      <c r="Q216" t="s">
        <v>149</v>
      </c>
      <c r="R216" t="s">
        <v>150</v>
      </c>
      <c r="S216" t="s">
        <v>150</v>
      </c>
      <c r="T216">
        <v>6</v>
      </c>
      <c r="U216">
        <v>10</v>
      </c>
      <c r="V216">
        <v>8</v>
      </c>
      <c r="W216">
        <v>11</v>
      </c>
    </row>
    <row r="217" spans="1:23">
      <c r="A217">
        <v>258</v>
      </c>
      <c r="B217" t="s">
        <v>151</v>
      </c>
      <c r="C217" t="s">
        <v>162</v>
      </c>
      <c r="D217">
        <v>19</v>
      </c>
      <c r="E217" t="s">
        <v>40</v>
      </c>
      <c r="F217" t="s">
        <v>152</v>
      </c>
      <c r="G217" t="s">
        <v>155</v>
      </c>
      <c r="H217" t="s">
        <v>101</v>
      </c>
      <c r="I217" t="s">
        <v>158</v>
      </c>
      <c r="J217" t="s">
        <v>153</v>
      </c>
      <c r="K217" t="s">
        <v>156</v>
      </c>
      <c r="L217" t="s">
        <v>148</v>
      </c>
      <c r="M217">
        <v>0</v>
      </c>
      <c r="N217" t="s">
        <v>149</v>
      </c>
      <c r="O217" t="s">
        <v>149</v>
      </c>
      <c r="P217" t="s">
        <v>149</v>
      </c>
      <c r="Q217" t="s">
        <v>150</v>
      </c>
      <c r="R217" t="s">
        <v>150</v>
      </c>
      <c r="S217" t="s">
        <v>149</v>
      </c>
      <c r="T217">
        <v>12</v>
      </c>
      <c r="U217">
        <v>11</v>
      </c>
      <c r="V217">
        <v>11</v>
      </c>
      <c r="W217">
        <v>11</v>
      </c>
    </row>
    <row r="218" spans="1:23">
      <c r="A218">
        <v>44</v>
      </c>
      <c r="B218" t="s">
        <v>151</v>
      </c>
      <c r="C218" t="s">
        <v>162</v>
      </c>
      <c r="D218">
        <v>15</v>
      </c>
      <c r="E218" t="s">
        <v>40</v>
      </c>
      <c r="F218" t="s">
        <v>144</v>
      </c>
      <c r="G218" t="s">
        <v>145</v>
      </c>
      <c r="H218" t="s">
        <v>100</v>
      </c>
      <c r="I218" t="s">
        <v>100</v>
      </c>
      <c r="J218" t="s">
        <v>153</v>
      </c>
      <c r="K218" t="s">
        <v>153</v>
      </c>
      <c r="L218" t="s">
        <v>157</v>
      </c>
      <c r="M218">
        <v>0</v>
      </c>
      <c r="N218" t="s">
        <v>150</v>
      </c>
      <c r="O218" t="s">
        <v>149</v>
      </c>
      <c r="P218" t="s">
        <v>149</v>
      </c>
      <c r="Q218" t="s">
        <v>150</v>
      </c>
      <c r="R218" t="s">
        <v>150</v>
      </c>
      <c r="S218" t="s">
        <v>149</v>
      </c>
      <c r="T218">
        <v>0</v>
      </c>
      <c r="U218">
        <v>8</v>
      </c>
      <c r="V218">
        <v>8</v>
      </c>
      <c r="W218">
        <v>11</v>
      </c>
    </row>
    <row r="219" spans="1:23">
      <c r="A219">
        <v>27</v>
      </c>
      <c r="B219" t="s">
        <v>151</v>
      </c>
      <c r="C219" t="s">
        <v>162</v>
      </c>
      <c r="D219">
        <v>15</v>
      </c>
      <c r="E219" t="s">
        <v>40</v>
      </c>
      <c r="F219" t="s">
        <v>144</v>
      </c>
      <c r="G219" t="s">
        <v>145</v>
      </c>
      <c r="H219" t="s">
        <v>100</v>
      </c>
      <c r="I219" t="s">
        <v>100</v>
      </c>
      <c r="J219" t="s">
        <v>147</v>
      </c>
      <c r="K219" t="s">
        <v>147</v>
      </c>
      <c r="L219" t="s">
        <v>157</v>
      </c>
      <c r="M219">
        <v>0</v>
      </c>
      <c r="N219" t="s">
        <v>149</v>
      </c>
      <c r="O219" t="s">
        <v>150</v>
      </c>
      <c r="P219" t="s">
        <v>149</v>
      </c>
      <c r="Q219" t="s">
        <v>150</v>
      </c>
      <c r="R219" t="s">
        <v>150</v>
      </c>
      <c r="S219" t="s">
        <v>149</v>
      </c>
      <c r="T219">
        <v>2</v>
      </c>
      <c r="U219">
        <v>12</v>
      </c>
      <c r="V219">
        <v>12</v>
      </c>
      <c r="W219">
        <v>11</v>
      </c>
    </row>
    <row r="220" spans="1:23">
      <c r="A220">
        <v>232</v>
      </c>
      <c r="B220" t="s">
        <v>151</v>
      </c>
      <c r="C220" t="s">
        <v>162</v>
      </c>
      <c r="D220">
        <v>17</v>
      </c>
      <c r="E220" t="s">
        <v>41</v>
      </c>
      <c r="F220" t="s">
        <v>144</v>
      </c>
      <c r="G220" t="s">
        <v>145</v>
      </c>
      <c r="H220" t="s">
        <v>100</v>
      </c>
      <c r="I220" t="s">
        <v>100</v>
      </c>
      <c r="J220" t="s">
        <v>147</v>
      </c>
      <c r="K220" t="s">
        <v>147</v>
      </c>
      <c r="L220" t="s">
        <v>148</v>
      </c>
      <c r="M220">
        <v>0</v>
      </c>
      <c r="N220" t="s">
        <v>149</v>
      </c>
      <c r="O220" t="s">
        <v>150</v>
      </c>
      <c r="P220" t="s">
        <v>150</v>
      </c>
      <c r="Q220" t="s">
        <v>150</v>
      </c>
      <c r="R220" t="s">
        <v>150</v>
      </c>
      <c r="S220" t="s">
        <v>149</v>
      </c>
      <c r="T220">
        <v>4</v>
      </c>
      <c r="U220">
        <v>11</v>
      </c>
      <c r="V220">
        <v>11</v>
      </c>
      <c r="W220">
        <v>11</v>
      </c>
    </row>
    <row r="221" spans="1:23">
      <c r="A221">
        <v>291</v>
      </c>
      <c r="B221" t="s">
        <v>151</v>
      </c>
      <c r="C221" t="s">
        <v>162</v>
      </c>
      <c r="D221">
        <v>18</v>
      </c>
      <c r="E221" t="s">
        <v>40</v>
      </c>
      <c r="F221" t="s">
        <v>144</v>
      </c>
      <c r="G221" t="s">
        <v>145</v>
      </c>
      <c r="H221" t="s">
        <v>101</v>
      </c>
      <c r="I221" t="s">
        <v>100</v>
      </c>
      <c r="J221" t="s">
        <v>160</v>
      </c>
      <c r="K221" t="s">
        <v>147</v>
      </c>
      <c r="L221" t="s">
        <v>148</v>
      </c>
      <c r="M221">
        <v>0</v>
      </c>
      <c r="N221" t="s">
        <v>149</v>
      </c>
      <c r="O221" t="s">
        <v>150</v>
      </c>
      <c r="P221" t="s">
        <v>150</v>
      </c>
      <c r="Q221" t="s">
        <v>150</v>
      </c>
      <c r="R221" t="s">
        <v>150</v>
      </c>
      <c r="S221" t="s">
        <v>150</v>
      </c>
      <c r="T221">
        <v>11</v>
      </c>
      <c r="U221">
        <v>12</v>
      </c>
      <c r="V221">
        <v>11</v>
      </c>
      <c r="W221">
        <v>11</v>
      </c>
    </row>
    <row r="222" spans="1:23">
      <c r="A222">
        <v>313</v>
      </c>
      <c r="B222" t="s">
        <v>151</v>
      </c>
      <c r="C222" t="s">
        <v>162</v>
      </c>
      <c r="D222">
        <v>19</v>
      </c>
      <c r="E222" t="s">
        <v>40</v>
      </c>
      <c r="F222" t="s">
        <v>144</v>
      </c>
      <c r="G222" t="s">
        <v>145</v>
      </c>
      <c r="H222" t="s">
        <v>146</v>
      </c>
      <c r="I222" t="s">
        <v>100</v>
      </c>
      <c r="J222" t="s">
        <v>147</v>
      </c>
      <c r="K222" t="s">
        <v>153</v>
      </c>
      <c r="L222" t="s">
        <v>148</v>
      </c>
      <c r="M222">
        <v>1</v>
      </c>
      <c r="N222" t="s">
        <v>149</v>
      </c>
      <c r="O222" t="s">
        <v>149</v>
      </c>
      <c r="P222" t="s">
        <v>149</v>
      </c>
      <c r="Q222" t="s">
        <v>149</v>
      </c>
      <c r="R222" t="s">
        <v>150</v>
      </c>
      <c r="S222" t="s">
        <v>149</v>
      </c>
      <c r="T222">
        <v>3</v>
      </c>
      <c r="U222">
        <v>13</v>
      </c>
      <c r="V222">
        <v>11</v>
      </c>
      <c r="W222">
        <v>11</v>
      </c>
    </row>
    <row r="223" spans="1:23">
      <c r="A223">
        <v>82</v>
      </c>
      <c r="B223" t="s">
        <v>151</v>
      </c>
      <c r="C223" t="s">
        <v>162</v>
      </c>
      <c r="D223">
        <v>15</v>
      </c>
      <c r="E223" t="s">
        <v>40</v>
      </c>
      <c r="F223" t="s">
        <v>144</v>
      </c>
      <c r="G223" t="s">
        <v>145</v>
      </c>
      <c r="H223" t="s">
        <v>100</v>
      </c>
      <c r="I223" t="s">
        <v>158</v>
      </c>
      <c r="J223" t="s">
        <v>147</v>
      </c>
      <c r="K223" t="s">
        <v>147</v>
      </c>
      <c r="L223" t="s">
        <v>161</v>
      </c>
      <c r="M223">
        <v>0</v>
      </c>
      <c r="N223" t="s">
        <v>150</v>
      </c>
      <c r="O223" t="s">
        <v>150</v>
      </c>
      <c r="P223" t="s">
        <v>149</v>
      </c>
      <c r="Q223" t="s">
        <v>149</v>
      </c>
      <c r="R223" t="s">
        <v>150</v>
      </c>
      <c r="S223" t="s">
        <v>149</v>
      </c>
      <c r="T223">
        <v>4</v>
      </c>
      <c r="U223">
        <v>11</v>
      </c>
      <c r="V223">
        <v>10</v>
      </c>
      <c r="W223">
        <v>11</v>
      </c>
    </row>
    <row r="224" spans="1:23">
      <c r="A224">
        <v>187</v>
      </c>
      <c r="B224" t="s">
        <v>151</v>
      </c>
      <c r="C224" t="s">
        <v>162</v>
      </c>
      <c r="D224">
        <v>16</v>
      </c>
      <c r="E224" t="s">
        <v>40</v>
      </c>
      <c r="F224" t="s">
        <v>144</v>
      </c>
      <c r="G224" t="s">
        <v>145</v>
      </c>
      <c r="H224" t="s">
        <v>146</v>
      </c>
      <c r="I224" t="s">
        <v>100</v>
      </c>
      <c r="J224" t="s">
        <v>153</v>
      </c>
      <c r="K224" t="s">
        <v>153</v>
      </c>
      <c r="L224" t="s">
        <v>157</v>
      </c>
      <c r="M224">
        <v>0</v>
      </c>
      <c r="N224" t="s">
        <v>149</v>
      </c>
      <c r="O224" t="s">
        <v>150</v>
      </c>
      <c r="P224" t="s">
        <v>150</v>
      </c>
      <c r="Q224" t="s">
        <v>150</v>
      </c>
      <c r="R224" t="s">
        <v>150</v>
      </c>
      <c r="S224" t="s">
        <v>150</v>
      </c>
      <c r="T224">
        <v>2</v>
      </c>
      <c r="U224">
        <v>11</v>
      </c>
      <c r="V224">
        <v>12</v>
      </c>
      <c r="W224">
        <v>11</v>
      </c>
    </row>
    <row r="225" spans="1:23">
      <c r="A225">
        <v>326</v>
      </c>
      <c r="B225" t="s">
        <v>151</v>
      </c>
      <c r="C225" t="s">
        <v>162</v>
      </c>
      <c r="D225">
        <v>18</v>
      </c>
      <c r="E225" t="s">
        <v>40</v>
      </c>
      <c r="F225" t="s">
        <v>144</v>
      </c>
      <c r="G225" t="s">
        <v>145</v>
      </c>
      <c r="H225" t="s">
        <v>101</v>
      </c>
      <c r="I225" t="s">
        <v>101</v>
      </c>
      <c r="J225" t="s">
        <v>147</v>
      </c>
      <c r="K225" t="s">
        <v>147</v>
      </c>
      <c r="L225" t="s">
        <v>161</v>
      </c>
      <c r="M225">
        <v>0</v>
      </c>
      <c r="N225" t="s">
        <v>149</v>
      </c>
      <c r="O225" t="s">
        <v>149</v>
      </c>
      <c r="P225" t="s">
        <v>150</v>
      </c>
      <c r="Q225" t="s">
        <v>150</v>
      </c>
      <c r="R225" t="s">
        <v>150</v>
      </c>
      <c r="S225" t="s">
        <v>149</v>
      </c>
      <c r="T225">
        <v>3</v>
      </c>
      <c r="U225">
        <v>9</v>
      </c>
      <c r="V225">
        <v>12</v>
      </c>
      <c r="W225">
        <v>11</v>
      </c>
    </row>
    <row r="226" spans="1:23">
      <c r="A226">
        <v>286</v>
      </c>
      <c r="B226" t="s">
        <v>151</v>
      </c>
      <c r="C226" t="s">
        <v>162</v>
      </c>
      <c r="D226">
        <v>17</v>
      </c>
      <c r="E226" t="s">
        <v>40</v>
      </c>
      <c r="F226" t="s">
        <v>144</v>
      </c>
      <c r="G226" t="s">
        <v>145</v>
      </c>
      <c r="H226" t="s">
        <v>146</v>
      </c>
      <c r="I226" t="s">
        <v>146</v>
      </c>
      <c r="J226" t="s">
        <v>147</v>
      </c>
      <c r="K226" t="s">
        <v>147</v>
      </c>
      <c r="L226" t="s">
        <v>148</v>
      </c>
      <c r="M226">
        <v>0</v>
      </c>
      <c r="N226" t="s">
        <v>149</v>
      </c>
      <c r="O226" t="s">
        <v>150</v>
      </c>
      <c r="P226" t="s">
        <v>149</v>
      </c>
      <c r="Q226" t="s">
        <v>149</v>
      </c>
      <c r="R226" t="s">
        <v>150</v>
      </c>
      <c r="S226" t="s">
        <v>149</v>
      </c>
      <c r="T226">
        <v>2</v>
      </c>
      <c r="U226">
        <v>12</v>
      </c>
      <c r="V226">
        <v>10</v>
      </c>
      <c r="W226">
        <v>11</v>
      </c>
    </row>
    <row r="227" spans="1:23">
      <c r="A227">
        <v>296</v>
      </c>
      <c r="B227" t="s">
        <v>151</v>
      </c>
      <c r="C227" t="s">
        <v>162</v>
      </c>
      <c r="D227">
        <v>17</v>
      </c>
      <c r="E227" t="s">
        <v>40</v>
      </c>
      <c r="F227" t="s">
        <v>144</v>
      </c>
      <c r="G227" t="s">
        <v>145</v>
      </c>
      <c r="H227" t="s">
        <v>158</v>
      </c>
      <c r="I227" t="s">
        <v>158</v>
      </c>
      <c r="J227" t="s">
        <v>159</v>
      </c>
      <c r="K227" t="s">
        <v>147</v>
      </c>
      <c r="L227" t="s">
        <v>157</v>
      </c>
      <c r="M227">
        <v>0</v>
      </c>
      <c r="N227" t="s">
        <v>149</v>
      </c>
      <c r="O227" t="s">
        <v>150</v>
      </c>
      <c r="P227" t="s">
        <v>149</v>
      </c>
      <c r="Q227" t="s">
        <v>150</v>
      </c>
      <c r="R227" t="s">
        <v>150</v>
      </c>
      <c r="S227" t="s">
        <v>149</v>
      </c>
      <c r="T227">
        <v>4</v>
      </c>
      <c r="U227">
        <v>14</v>
      </c>
      <c r="V227">
        <v>12</v>
      </c>
      <c r="W227">
        <v>11</v>
      </c>
    </row>
    <row r="228" spans="1:23">
      <c r="A228">
        <v>14</v>
      </c>
      <c r="B228" t="s">
        <v>151</v>
      </c>
      <c r="C228" t="s">
        <v>162</v>
      </c>
      <c r="D228">
        <v>15</v>
      </c>
      <c r="E228" t="s">
        <v>40</v>
      </c>
      <c r="F228" t="s">
        <v>144</v>
      </c>
      <c r="G228" t="s">
        <v>145</v>
      </c>
      <c r="H228" t="s">
        <v>101</v>
      </c>
      <c r="I228" t="s">
        <v>158</v>
      </c>
      <c r="J228" t="s">
        <v>160</v>
      </c>
      <c r="K228" t="s">
        <v>147</v>
      </c>
      <c r="L228" t="s">
        <v>148</v>
      </c>
      <c r="M228">
        <v>0</v>
      </c>
      <c r="N228" t="s">
        <v>149</v>
      </c>
      <c r="O228" t="s">
        <v>150</v>
      </c>
      <c r="P228" t="s">
        <v>149</v>
      </c>
      <c r="Q228" t="s">
        <v>150</v>
      </c>
      <c r="R228" t="s">
        <v>150</v>
      </c>
      <c r="S228" t="s">
        <v>149</v>
      </c>
      <c r="T228">
        <v>2</v>
      </c>
      <c r="U228">
        <v>10</v>
      </c>
      <c r="V228">
        <v>10</v>
      </c>
      <c r="W228">
        <v>11</v>
      </c>
    </row>
    <row r="229" spans="1:23">
      <c r="A229">
        <v>180</v>
      </c>
      <c r="B229" t="s">
        <v>151</v>
      </c>
      <c r="C229" t="s">
        <v>162</v>
      </c>
      <c r="D229">
        <v>17</v>
      </c>
      <c r="E229" t="s">
        <v>40</v>
      </c>
      <c r="F229" t="s">
        <v>144</v>
      </c>
      <c r="G229" t="s">
        <v>145</v>
      </c>
      <c r="H229" t="s">
        <v>101</v>
      </c>
      <c r="I229" t="s">
        <v>158</v>
      </c>
      <c r="J229" t="s">
        <v>147</v>
      </c>
      <c r="K229" t="s">
        <v>147</v>
      </c>
      <c r="L229" t="s">
        <v>148</v>
      </c>
      <c r="M229">
        <v>0</v>
      </c>
      <c r="N229" t="s">
        <v>149</v>
      </c>
      <c r="O229" t="s">
        <v>149</v>
      </c>
      <c r="P229" t="s">
        <v>150</v>
      </c>
      <c r="Q229" t="s">
        <v>150</v>
      </c>
      <c r="R229" t="s">
        <v>150</v>
      </c>
      <c r="S229" t="s">
        <v>150</v>
      </c>
      <c r="T229">
        <v>4</v>
      </c>
      <c r="U229">
        <v>10</v>
      </c>
      <c r="V229">
        <v>10</v>
      </c>
      <c r="W229">
        <v>11</v>
      </c>
    </row>
    <row r="230" spans="1:23">
      <c r="A230">
        <v>29</v>
      </c>
      <c r="B230" t="s">
        <v>151</v>
      </c>
      <c r="C230" t="s">
        <v>162</v>
      </c>
      <c r="D230">
        <v>16</v>
      </c>
      <c r="E230" t="s">
        <v>40</v>
      </c>
      <c r="F230" t="s">
        <v>152</v>
      </c>
      <c r="G230" t="s">
        <v>155</v>
      </c>
      <c r="H230" t="s">
        <v>158</v>
      </c>
      <c r="I230" t="s">
        <v>101</v>
      </c>
      <c r="J230" t="s">
        <v>153</v>
      </c>
      <c r="K230" t="s">
        <v>147</v>
      </c>
      <c r="L230" t="s">
        <v>148</v>
      </c>
      <c r="M230">
        <v>0</v>
      </c>
      <c r="N230" t="s">
        <v>150</v>
      </c>
      <c r="O230" t="s">
        <v>149</v>
      </c>
      <c r="P230" t="s">
        <v>150</v>
      </c>
      <c r="Q230" t="s">
        <v>150</v>
      </c>
      <c r="R230" t="s">
        <v>150</v>
      </c>
      <c r="S230" t="s">
        <v>149</v>
      </c>
      <c r="T230">
        <v>4</v>
      </c>
      <c r="U230">
        <v>11</v>
      </c>
      <c r="V230">
        <v>11</v>
      </c>
      <c r="W230">
        <v>11</v>
      </c>
    </row>
    <row r="231" spans="1:23">
      <c r="A231">
        <v>7</v>
      </c>
      <c r="B231" t="s">
        <v>151</v>
      </c>
      <c r="C231" t="s">
        <v>162</v>
      </c>
      <c r="D231">
        <v>16</v>
      </c>
      <c r="E231" t="s">
        <v>40</v>
      </c>
      <c r="F231" t="s">
        <v>152</v>
      </c>
      <c r="G231" t="s">
        <v>145</v>
      </c>
      <c r="H231" t="s">
        <v>100</v>
      </c>
      <c r="I231" t="s">
        <v>100</v>
      </c>
      <c r="J231" t="s">
        <v>147</v>
      </c>
      <c r="K231" t="s">
        <v>147</v>
      </c>
      <c r="L231" t="s">
        <v>148</v>
      </c>
      <c r="M231">
        <v>0</v>
      </c>
      <c r="N231" t="s">
        <v>149</v>
      </c>
      <c r="O231" t="s">
        <v>149</v>
      </c>
      <c r="P231" t="s">
        <v>149</v>
      </c>
      <c r="Q231" t="s">
        <v>150</v>
      </c>
      <c r="R231" t="s">
        <v>150</v>
      </c>
      <c r="S231" t="s">
        <v>149</v>
      </c>
      <c r="T231">
        <v>0</v>
      </c>
      <c r="U231">
        <v>12</v>
      </c>
      <c r="V231">
        <v>12</v>
      </c>
      <c r="W231">
        <v>11</v>
      </c>
    </row>
    <row r="232" spans="1:23">
      <c r="A232">
        <v>186</v>
      </c>
      <c r="B232" t="s">
        <v>151</v>
      </c>
      <c r="C232" t="s">
        <v>162</v>
      </c>
      <c r="D232">
        <v>17</v>
      </c>
      <c r="E232" t="s">
        <v>40</v>
      </c>
      <c r="F232" t="s">
        <v>144</v>
      </c>
      <c r="G232" t="s">
        <v>145</v>
      </c>
      <c r="H232" t="s">
        <v>158</v>
      </c>
      <c r="I232" t="s">
        <v>158</v>
      </c>
      <c r="J232" t="s">
        <v>153</v>
      </c>
      <c r="K232" t="s">
        <v>153</v>
      </c>
      <c r="L232" t="s">
        <v>148</v>
      </c>
      <c r="M232">
        <v>0</v>
      </c>
      <c r="N232" t="s">
        <v>149</v>
      </c>
      <c r="O232" t="s">
        <v>149</v>
      </c>
      <c r="P232" t="s">
        <v>150</v>
      </c>
      <c r="Q232" t="s">
        <v>150</v>
      </c>
      <c r="R232" t="s">
        <v>150</v>
      </c>
      <c r="S232" t="s">
        <v>150</v>
      </c>
      <c r="T232">
        <v>12</v>
      </c>
      <c r="U232">
        <v>12</v>
      </c>
      <c r="V232">
        <v>12</v>
      </c>
      <c r="W232">
        <v>11</v>
      </c>
    </row>
    <row r="233" spans="1:23">
      <c r="A233">
        <v>30</v>
      </c>
      <c r="B233" t="s">
        <v>151</v>
      </c>
      <c r="C233" t="s">
        <v>162</v>
      </c>
      <c r="D233">
        <v>16</v>
      </c>
      <c r="E233" t="s">
        <v>40</v>
      </c>
      <c r="F233" t="s">
        <v>144</v>
      </c>
      <c r="G233" t="s">
        <v>145</v>
      </c>
      <c r="H233" t="s">
        <v>101</v>
      </c>
      <c r="I233" t="s">
        <v>101</v>
      </c>
      <c r="J233" t="s">
        <v>160</v>
      </c>
      <c r="K233" t="s">
        <v>160</v>
      </c>
      <c r="L233" t="s">
        <v>148</v>
      </c>
      <c r="M233">
        <v>0</v>
      </c>
      <c r="N233" t="s">
        <v>149</v>
      </c>
      <c r="O233" t="s">
        <v>150</v>
      </c>
      <c r="P233" t="s">
        <v>150</v>
      </c>
      <c r="Q233" t="s">
        <v>150</v>
      </c>
      <c r="R233" t="s">
        <v>150</v>
      </c>
      <c r="S233" t="s">
        <v>150</v>
      </c>
      <c r="T233">
        <v>16</v>
      </c>
      <c r="U233">
        <v>10</v>
      </c>
      <c r="V233">
        <v>12</v>
      </c>
      <c r="W233">
        <v>11</v>
      </c>
    </row>
    <row r="234" spans="1:23">
      <c r="A234">
        <v>355</v>
      </c>
      <c r="B234" t="s">
        <v>142</v>
      </c>
      <c r="C234" t="s">
        <v>162</v>
      </c>
      <c r="D234">
        <v>17</v>
      </c>
      <c r="E234" t="s">
        <v>41</v>
      </c>
      <c r="F234" t="s">
        <v>144</v>
      </c>
      <c r="G234" t="s">
        <v>145</v>
      </c>
      <c r="H234" t="s">
        <v>101</v>
      </c>
      <c r="I234" t="s">
        <v>158</v>
      </c>
      <c r="J234" t="s">
        <v>153</v>
      </c>
      <c r="K234" t="s">
        <v>147</v>
      </c>
      <c r="L234" t="s">
        <v>148</v>
      </c>
      <c r="M234">
        <v>0</v>
      </c>
      <c r="N234" t="s">
        <v>149</v>
      </c>
      <c r="O234" t="s">
        <v>150</v>
      </c>
      <c r="P234" t="s">
        <v>150</v>
      </c>
      <c r="Q234" t="s">
        <v>149</v>
      </c>
      <c r="R234" t="s">
        <v>150</v>
      </c>
      <c r="S234" t="s">
        <v>150</v>
      </c>
      <c r="T234">
        <v>4</v>
      </c>
      <c r="U234">
        <v>13</v>
      </c>
      <c r="V234">
        <v>11</v>
      </c>
      <c r="W234">
        <v>11</v>
      </c>
    </row>
    <row r="235" spans="1:23">
      <c r="A235">
        <v>155</v>
      </c>
      <c r="B235" t="s">
        <v>151</v>
      </c>
      <c r="C235" t="s">
        <v>143</v>
      </c>
      <c r="D235">
        <v>17</v>
      </c>
      <c r="E235" t="s">
        <v>40</v>
      </c>
      <c r="F235" t="s">
        <v>144</v>
      </c>
      <c r="G235" t="s">
        <v>145</v>
      </c>
      <c r="H235" t="s">
        <v>101</v>
      </c>
      <c r="I235" t="s">
        <v>101</v>
      </c>
      <c r="J235" t="s">
        <v>147</v>
      </c>
      <c r="K235" t="s">
        <v>160</v>
      </c>
      <c r="L235" t="s">
        <v>157</v>
      </c>
      <c r="M235">
        <v>0</v>
      </c>
      <c r="N235" t="s">
        <v>150</v>
      </c>
      <c r="O235" t="s">
        <v>149</v>
      </c>
      <c r="P235" t="s">
        <v>149</v>
      </c>
      <c r="Q235" t="s">
        <v>150</v>
      </c>
      <c r="R235" t="s">
        <v>149</v>
      </c>
      <c r="S235" t="s">
        <v>150</v>
      </c>
      <c r="T235">
        <v>0</v>
      </c>
      <c r="U235">
        <v>11</v>
      </c>
      <c r="V235">
        <v>11</v>
      </c>
      <c r="W235">
        <v>12</v>
      </c>
    </row>
    <row r="236" spans="1:23">
      <c r="A236">
        <v>185</v>
      </c>
      <c r="B236" t="s">
        <v>151</v>
      </c>
      <c r="C236" t="s">
        <v>143</v>
      </c>
      <c r="D236">
        <v>16</v>
      </c>
      <c r="E236" t="s">
        <v>40</v>
      </c>
      <c r="F236" t="s">
        <v>144</v>
      </c>
      <c r="G236" t="s">
        <v>145</v>
      </c>
      <c r="H236" t="s">
        <v>158</v>
      </c>
      <c r="I236" t="s">
        <v>100</v>
      </c>
      <c r="J236" t="s">
        <v>147</v>
      </c>
      <c r="K236" t="s">
        <v>147</v>
      </c>
      <c r="L236" t="s">
        <v>148</v>
      </c>
      <c r="M236">
        <v>0</v>
      </c>
      <c r="N236" t="s">
        <v>149</v>
      </c>
      <c r="O236" t="s">
        <v>150</v>
      </c>
      <c r="P236" t="s">
        <v>149</v>
      </c>
      <c r="Q236" t="s">
        <v>150</v>
      </c>
      <c r="R236" t="s">
        <v>150</v>
      </c>
      <c r="S236" t="s">
        <v>149</v>
      </c>
      <c r="T236">
        <v>14</v>
      </c>
      <c r="U236">
        <v>12</v>
      </c>
      <c r="V236">
        <v>13</v>
      </c>
      <c r="W236">
        <v>12</v>
      </c>
    </row>
    <row r="237" spans="1:23">
      <c r="A237">
        <v>365</v>
      </c>
      <c r="B237" t="s">
        <v>142</v>
      </c>
      <c r="C237" t="s">
        <v>143</v>
      </c>
      <c r="D237">
        <v>17</v>
      </c>
      <c r="E237" t="s">
        <v>41</v>
      </c>
      <c r="F237" t="s">
        <v>144</v>
      </c>
      <c r="G237" t="s">
        <v>145</v>
      </c>
      <c r="H237" t="s">
        <v>146</v>
      </c>
      <c r="I237" t="s">
        <v>100</v>
      </c>
      <c r="J237" t="s">
        <v>147</v>
      </c>
      <c r="K237" t="s">
        <v>153</v>
      </c>
      <c r="L237" t="s">
        <v>148</v>
      </c>
      <c r="M237">
        <v>0</v>
      </c>
      <c r="N237" t="s">
        <v>149</v>
      </c>
      <c r="O237" t="s">
        <v>149</v>
      </c>
      <c r="P237" t="s">
        <v>149</v>
      </c>
      <c r="Q237" t="s">
        <v>149</v>
      </c>
      <c r="R237" t="s">
        <v>149</v>
      </c>
      <c r="S237" t="s">
        <v>149</v>
      </c>
      <c r="T237">
        <v>0</v>
      </c>
      <c r="U237">
        <v>12</v>
      </c>
      <c r="V237">
        <v>11</v>
      </c>
      <c r="W237">
        <v>12</v>
      </c>
    </row>
    <row r="238" spans="1:23">
      <c r="A238">
        <v>238</v>
      </c>
      <c r="B238" t="s">
        <v>151</v>
      </c>
      <c r="C238" t="s">
        <v>143</v>
      </c>
      <c r="D238">
        <v>16</v>
      </c>
      <c r="E238" t="s">
        <v>40</v>
      </c>
      <c r="F238" t="s">
        <v>144</v>
      </c>
      <c r="G238" t="s">
        <v>145</v>
      </c>
      <c r="H238" t="s">
        <v>100</v>
      </c>
      <c r="I238" t="s">
        <v>146</v>
      </c>
      <c r="J238" t="s">
        <v>147</v>
      </c>
      <c r="K238" t="s">
        <v>147</v>
      </c>
      <c r="L238" t="s">
        <v>157</v>
      </c>
      <c r="M238">
        <v>0</v>
      </c>
      <c r="N238" t="s">
        <v>149</v>
      </c>
      <c r="O238" t="s">
        <v>149</v>
      </c>
      <c r="P238" t="s">
        <v>149</v>
      </c>
      <c r="Q238" t="s">
        <v>150</v>
      </c>
      <c r="R238" t="s">
        <v>150</v>
      </c>
      <c r="S238" t="s">
        <v>150</v>
      </c>
      <c r="T238">
        <v>20</v>
      </c>
      <c r="U238">
        <v>13</v>
      </c>
      <c r="V238">
        <v>12</v>
      </c>
      <c r="W238">
        <v>12</v>
      </c>
    </row>
    <row r="239" spans="1:23">
      <c r="A239">
        <v>12</v>
      </c>
      <c r="B239" t="s">
        <v>151</v>
      </c>
      <c r="C239" t="s">
        <v>143</v>
      </c>
      <c r="D239">
        <v>15</v>
      </c>
      <c r="E239" t="s">
        <v>40</v>
      </c>
      <c r="F239" t="s">
        <v>144</v>
      </c>
      <c r="G239" t="s">
        <v>145</v>
      </c>
      <c r="H239" t="s">
        <v>100</v>
      </c>
      <c r="I239" t="s">
        <v>146</v>
      </c>
      <c r="J239" t="s">
        <v>153</v>
      </c>
      <c r="K239" t="s">
        <v>147</v>
      </c>
      <c r="L239" t="s">
        <v>161</v>
      </c>
      <c r="M239">
        <v>0</v>
      </c>
      <c r="N239" t="s">
        <v>149</v>
      </c>
      <c r="O239" t="s">
        <v>149</v>
      </c>
      <c r="P239" t="s">
        <v>150</v>
      </c>
      <c r="Q239" t="s">
        <v>150</v>
      </c>
      <c r="R239" t="s">
        <v>150</v>
      </c>
      <c r="S239" t="s">
        <v>149</v>
      </c>
      <c r="T239">
        <v>4</v>
      </c>
      <c r="U239">
        <v>10</v>
      </c>
      <c r="V239">
        <v>12</v>
      </c>
      <c r="W239">
        <v>12</v>
      </c>
    </row>
    <row r="240" spans="1:23">
      <c r="A240">
        <v>283</v>
      </c>
      <c r="B240" t="s">
        <v>151</v>
      </c>
      <c r="C240" t="s">
        <v>143</v>
      </c>
      <c r="D240">
        <v>18</v>
      </c>
      <c r="E240" t="s">
        <v>41</v>
      </c>
      <c r="F240" t="s">
        <v>152</v>
      </c>
      <c r="G240" t="s">
        <v>145</v>
      </c>
      <c r="H240" t="s">
        <v>146</v>
      </c>
      <c r="I240" t="s">
        <v>146</v>
      </c>
      <c r="J240" t="s">
        <v>156</v>
      </c>
      <c r="K240" t="s">
        <v>147</v>
      </c>
      <c r="L240" t="s">
        <v>154</v>
      </c>
      <c r="M240">
        <v>0</v>
      </c>
      <c r="N240" t="s">
        <v>149</v>
      </c>
      <c r="O240" t="s">
        <v>150</v>
      </c>
      <c r="P240" t="s">
        <v>150</v>
      </c>
      <c r="Q240" t="s">
        <v>150</v>
      </c>
      <c r="R240" t="s">
        <v>149</v>
      </c>
      <c r="S240" t="s">
        <v>149</v>
      </c>
      <c r="T240">
        <v>1</v>
      </c>
      <c r="U240">
        <v>12</v>
      </c>
      <c r="V240">
        <v>12</v>
      </c>
      <c r="W240">
        <v>12</v>
      </c>
    </row>
    <row r="241" spans="1:23">
      <c r="A241">
        <v>230</v>
      </c>
      <c r="B241" t="s">
        <v>151</v>
      </c>
      <c r="C241" t="s">
        <v>143</v>
      </c>
      <c r="D241">
        <v>17</v>
      </c>
      <c r="E241" t="s">
        <v>40</v>
      </c>
      <c r="F241" t="s">
        <v>144</v>
      </c>
      <c r="G241" t="s">
        <v>155</v>
      </c>
      <c r="H241" t="s">
        <v>100</v>
      </c>
      <c r="I241" t="s">
        <v>146</v>
      </c>
      <c r="J241" t="s">
        <v>147</v>
      </c>
      <c r="K241" t="s">
        <v>147</v>
      </c>
      <c r="L241" t="s">
        <v>161</v>
      </c>
      <c r="M241">
        <v>0</v>
      </c>
      <c r="N241" t="s">
        <v>149</v>
      </c>
      <c r="O241" t="s">
        <v>149</v>
      </c>
      <c r="P241" t="s">
        <v>150</v>
      </c>
      <c r="Q241" t="s">
        <v>150</v>
      </c>
      <c r="R241" t="s">
        <v>150</v>
      </c>
      <c r="S241" t="s">
        <v>150</v>
      </c>
      <c r="T241">
        <v>10</v>
      </c>
      <c r="U241">
        <v>12</v>
      </c>
      <c r="V241">
        <v>10</v>
      </c>
      <c r="W241">
        <v>12</v>
      </c>
    </row>
    <row r="242" spans="1:23">
      <c r="A242">
        <v>306</v>
      </c>
      <c r="B242" t="s">
        <v>151</v>
      </c>
      <c r="C242" t="s">
        <v>143</v>
      </c>
      <c r="D242">
        <v>18</v>
      </c>
      <c r="E242" t="s">
        <v>40</v>
      </c>
      <c r="F242" t="s">
        <v>144</v>
      </c>
      <c r="G242" t="s">
        <v>145</v>
      </c>
      <c r="H242" t="s">
        <v>100</v>
      </c>
      <c r="I242" t="s">
        <v>101</v>
      </c>
      <c r="J242" t="s">
        <v>153</v>
      </c>
      <c r="K242" t="s">
        <v>156</v>
      </c>
      <c r="L242" t="s">
        <v>148</v>
      </c>
      <c r="M242">
        <v>1</v>
      </c>
      <c r="N242" t="s">
        <v>149</v>
      </c>
      <c r="O242" t="s">
        <v>150</v>
      </c>
      <c r="P242" t="s">
        <v>150</v>
      </c>
      <c r="Q242" t="s">
        <v>150</v>
      </c>
      <c r="R242" t="s">
        <v>150</v>
      </c>
      <c r="S242" t="s">
        <v>149</v>
      </c>
      <c r="T242">
        <v>8</v>
      </c>
      <c r="U242">
        <v>14</v>
      </c>
      <c r="V242">
        <v>12</v>
      </c>
      <c r="W242">
        <v>12</v>
      </c>
    </row>
    <row r="243" spans="1:23">
      <c r="A243">
        <v>288</v>
      </c>
      <c r="B243" t="s">
        <v>151</v>
      </c>
      <c r="C243" t="s">
        <v>143</v>
      </c>
      <c r="D243">
        <v>17</v>
      </c>
      <c r="E243" t="s">
        <v>40</v>
      </c>
      <c r="F243" t="s">
        <v>144</v>
      </c>
      <c r="G243" t="s">
        <v>145</v>
      </c>
      <c r="H243" t="s">
        <v>146</v>
      </c>
      <c r="I243" t="s">
        <v>146</v>
      </c>
      <c r="J243" t="s">
        <v>153</v>
      </c>
      <c r="K243" t="s">
        <v>160</v>
      </c>
      <c r="L243" t="s">
        <v>161</v>
      </c>
      <c r="M243">
        <v>0</v>
      </c>
      <c r="N243" t="s">
        <v>149</v>
      </c>
      <c r="O243" t="s">
        <v>150</v>
      </c>
      <c r="P243" t="s">
        <v>149</v>
      </c>
      <c r="Q243" t="s">
        <v>150</v>
      </c>
      <c r="R243" t="s">
        <v>150</v>
      </c>
      <c r="S243" t="s">
        <v>149</v>
      </c>
      <c r="T243">
        <v>6</v>
      </c>
      <c r="U243">
        <v>13</v>
      </c>
      <c r="V243">
        <v>12</v>
      </c>
      <c r="W243">
        <v>12</v>
      </c>
    </row>
    <row r="244" spans="1:23">
      <c r="A244">
        <v>133</v>
      </c>
      <c r="B244" t="s">
        <v>151</v>
      </c>
      <c r="C244" t="s">
        <v>143</v>
      </c>
      <c r="D244">
        <v>17</v>
      </c>
      <c r="E244" t="s">
        <v>40</v>
      </c>
      <c r="F244" t="s">
        <v>152</v>
      </c>
      <c r="G244" t="s">
        <v>145</v>
      </c>
      <c r="H244" t="s">
        <v>100</v>
      </c>
      <c r="I244" t="s">
        <v>100</v>
      </c>
      <c r="J244" t="s">
        <v>147</v>
      </c>
      <c r="K244" t="s">
        <v>147</v>
      </c>
      <c r="L244" t="s">
        <v>157</v>
      </c>
      <c r="M244">
        <v>0</v>
      </c>
      <c r="N244" t="s">
        <v>149</v>
      </c>
      <c r="O244" t="s">
        <v>149</v>
      </c>
      <c r="P244" t="s">
        <v>149</v>
      </c>
      <c r="Q244" t="s">
        <v>150</v>
      </c>
      <c r="R244" t="s">
        <v>150</v>
      </c>
      <c r="S244" t="s">
        <v>150</v>
      </c>
      <c r="T244">
        <v>12</v>
      </c>
      <c r="U244">
        <v>10</v>
      </c>
      <c r="V244">
        <v>13</v>
      </c>
      <c r="W244">
        <v>12</v>
      </c>
    </row>
    <row r="245" spans="1:23">
      <c r="A245">
        <v>276</v>
      </c>
      <c r="B245" t="s">
        <v>151</v>
      </c>
      <c r="C245" t="s">
        <v>143</v>
      </c>
      <c r="D245">
        <v>17</v>
      </c>
      <c r="E245" t="s">
        <v>40</v>
      </c>
      <c r="F245" t="s">
        <v>152</v>
      </c>
      <c r="G245" t="s">
        <v>145</v>
      </c>
      <c r="H245" t="s">
        <v>100</v>
      </c>
      <c r="I245" t="s">
        <v>100</v>
      </c>
      <c r="J245" t="s">
        <v>153</v>
      </c>
      <c r="K245" t="s">
        <v>147</v>
      </c>
      <c r="L245" t="s">
        <v>148</v>
      </c>
      <c r="M245">
        <v>0</v>
      </c>
      <c r="N245" t="s">
        <v>150</v>
      </c>
      <c r="O245" t="s">
        <v>150</v>
      </c>
      <c r="P245" t="s">
        <v>149</v>
      </c>
      <c r="Q245" t="s">
        <v>150</v>
      </c>
      <c r="R245" t="s">
        <v>150</v>
      </c>
      <c r="S245" t="s">
        <v>150</v>
      </c>
      <c r="T245">
        <v>6</v>
      </c>
      <c r="U245">
        <v>12</v>
      </c>
      <c r="V245">
        <v>12</v>
      </c>
      <c r="W245">
        <v>12</v>
      </c>
    </row>
    <row r="246" spans="1:23">
      <c r="A246">
        <v>81</v>
      </c>
      <c r="B246" t="s">
        <v>151</v>
      </c>
      <c r="C246" t="s">
        <v>162</v>
      </c>
      <c r="D246">
        <v>15</v>
      </c>
      <c r="E246" t="s">
        <v>40</v>
      </c>
      <c r="F246" t="s">
        <v>144</v>
      </c>
      <c r="G246" t="s">
        <v>145</v>
      </c>
      <c r="H246" t="s">
        <v>100</v>
      </c>
      <c r="I246" t="s">
        <v>158</v>
      </c>
      <c r="J246" t="s">
        <v>147</v>
      </c>
      <c r="K246" t="s">
        <v>153</v>
      </c>
      <c r="L246" t="s">
        <v>157</v>
      </c>
      <c r="M246">
        <v>0</v>
      </c>
      <c r="N246" t="s">
        <v>150</v>
      </c>
      <c r="O246" t="s">
        <v>150</v>
      </c>
      <c r="P246" t="s">
        <v>150</v>
      </c>
      <c r="Q246" t="s">
        <v>149</v>
      </c>
      <c r="R246" t="s">
        <v>150</v>
      </c>
      <c r="S246" t="s">
        <v>150</v>
      </c>
      <c r="T246">
        <v>2</v>
      </c>
      <c r="U246">
        <v>10</v>
      </c>
      <c r="V246">
        <v>12</v>
      </c>
      <c r="W246">
        <v>12</v>
      </c>
    </row>
    <row r="247" spans="1:23">
      <c r="A247">
        <v>255</v>
      </c>
      <c r="B247" t="s">
        <v>151</v>
      </c>
      <c r="C247" t="s">
        <v>162</v>
      </c>
      <c r="D247">
        <v>17</v>
      </c>
      <c r="E247" t="s">
        <v>41</v>
      </c>
      <c r="F247" t="s">
        <v>144</v>
      </c>
      <c r="G247" t="s">
        <v>145</v>
      </c>
      <c r="H247" t="s">
        <v>100</v>
      </c>
      <c r="I247" t="s">
        <v>146</v>
      </c>
      <c r="J247" t="s">
        <v>147</v>
      </c>
      <c r="K247" t="s">
        <v>147</v>
      </c>
      <c r="L247" t="s">
        <v>157</v>
      </c>
      <c r="M247">
        <v>0</v>
      </c>
      <c r="N247" t="s">
        <v>149</v>
      </c>
      <c r="O247" t="s">
        <v>149</v>
      </c>
      <c r="P247" t="s">
        <v>149</v>
      </c>
      <c r="Q247" t="s">
        <v>149</v>
      </c>
      <c r="R247" t="s">
        <v>150</v>
      </c>
      <c r="S247" t="s">
        <v>149</v>
      </c>
      <c r="T247">
        <v>0</v>
      </c>
      <c r="U247">
        <v>8</v>
      </c>
      <c r="V247">
        <v>12</v>
      </c>
      <c r="W247">
        <v>12</v>
      </c>
    </row>
    <row r="248" spans="1:23">
      <c r="A248">
        <v>166</v>
      </c>
      <c r="B248" t="s">
        <v>151</v>
      </c>
      <c r="C248" t="s">
        <v>162</v>
      </c>
      <c r="D248">
        <v>16</v>
      </c>
      <c r="E248" t="s">
        <v>40</v>
      </c>
      <c r="F248" t="s">
        <v>144</v>
      </c>
      <c r="G248" t="s">
        <v>145</v>
      </c>
      <c r="H248" t="s">
        <v>158</v>
      </c>
      <c r="I248" t="s">
        <v>100</v>
      </c>
      <c r="J248" t="s">
        <v>153</v>
      </c>
      <c r="K248" t="s">
        <v>153</v>
      </c>
      <c r="L248" t="s">
        <v>157</v>
      </c>
      <c r="M248">
        <v>1</v>
      </c>
      <c r="N248" t="s">
        <v>149</v>
      </c>
      <c r="O248" t="s">
        <v>149</v>
      </c>
      <c r="P248" t="s">
        <v>150</v>
      </c>
      <c r="Q248" t="s">
        <v>149</v>
      </c>
      <c r="R248" t="s">
        <v>149</v>
      </c>
      <c r="S248" t="s">
        <v>149</v>
      </c>
      <c r="T248">
        <v>16</v>
      </c>
      <c r="U248">
        <v>12</v>
      </c>
      <c r="V248">
        <v>11</v>
      </c>
      <c r="W248">
        <v>12</v>
      </c>
    </row>
    <row r="249" spans="1:23">
      <c r="A249">
        <v>31</v>
      </c>
      <c r="B249" t="s">
        <v>151</v>
      </c>
      <c r="C249" t="s">
        <v>162</v>
      </c>
      <c r="D249">
        <v>15</v>
      </c>
      <c r="E249" t="s">
        <v>40</v>
      </c>
      <c r="F249" t="s">
        <v>144</v>
      </c>
      <c r="G249" t="s">
        <v>145</v>
      </c>
      <c r="H249" t="s">
        <v>101</v>
      </c>
      <c r="I249" t="s">
        <v>101</v>
      </c>
      <c r="J249" t="s">
        <v>159</v>
      </c>
      <c r="K249" t="s">
        <v>153</v>
      </c>
      <c r="L249" t="s">
        <v>148</v>
      </c>
      <c r="M249">
        <v>0</v>
      </c>
      <c r="N249" t="s">
        <v>149</v>
      </c>
      <c r="O249" t="s">
        <v>150</v>
      </c>
      <c r="P249" t="s">
        <v>149</v>
      </c>
      <c r="Q249" t="s">
        <v>149</v>
      </c>
      <c r="R249" t="s">
        <v>150</v>
      </c>
      <c r="S249" t="s">
        <v>149</v>
      </c>
      <c r="T249">
        <v>0</v>
      </c>
      <c r="U249">
        <v>9</v>
      </c>
      <c r="V249">
        <v>11</v>
      </c>
      <c r="W249">
        <v>12</v>
      </c>
    </row>
    <row r="250" spans="1:23">
      <c r="A250">
        <v>244</v>
      </c>
      <c r="B250" t="s">
        <v>151</v>
      </c>
      <c r="C250" t="s">
        <v>162</v>
      </c>
      <c r="D250">
        <v>16</v>
      </c>
      <c r="E250" t="s">
        <v>40</v>
      </c>
      <c r="F250" t="s">
        <v>144</v>
      </c>
      <c r="G250" t="s">
        <v>145</v>
      </c>
      <c r="H250" t="s">
        <v>101</v>
      </c>
      <c r="I250" t="s">
        <v>101</v>
      </c>
      <c r="J250" t="s">
        <v>153</v>
      </c>
      <c r="K250" t="s">
        <v>153</v>
      </c>
      <c r="L250" t="s">
        <v>157</v>
      </c>
      <c r="M250">
        <v>0</v>
      </c>
      <c r="N250" t="s">
        <v>149</v>
      </c>
      <c r="O250" t="s">
        <v>149</v>
      </c>
      <c r="P250" t="s">
        <v>150</v>
      </c>
      <c r="Q250" t="s">
        <v>150</v>
      </c>
      <c r="R250" t="s">
        <v>150</v>
      </c>
      <c r="S250" t="s">
        <v>149</v>
      </c>
      <c r="T250">
        <v>0</v>
      </c>
      <c r="U250">
        <v>13</v>
      </c>
      <c r="V250">
        <v>12</v>
      </c>
      <c r="W250">
        <v>12</v>
      </c>
    </row>
    <row r="251" spans="1:23">
      <c r="A251">
        <v>34</v>
      </c>
      <c r="B251" t="s">
        <v>151</v>
      </c>
      <c r="C251" t="s">
        <v>162</v>
      </c>
      <c r="D251">
        <v>15</v>
      </c>
      <c r="E251" t="s">
        <v>40</v>
      </c>
      <c r="F251" t="s">
        <v>152</v>
      </c>
      <c r="G251" t="s">
        <v>145</v>
      </c>
      <c r="H251" t="s">
        <v>158</v>
      </c>
      <c r="I251" t="s">
        <v>158</v>
      </c>
      <c r="J251" t="s">
        <v>147</v>
      </c>
      <c r="K251" t="s">
        <v>147</v>
      </c>
      <c r="L251" t="s">
        <v>148</v>
      </c>
      <c r="M251">
        <v>0</v>
      </c>
      <c r="N251" t="s">
        <v>149</v>
      </c>
      <c r="O251" t="s">
        <v>149</v>
      </c>
      <c r="P251" t="s">
        <v>150</v>
      </c>
      <c r="Q251" t="s">
        <v>149</v>
      </c>
      <c r="R251" t="s">
        <v>150</v>
      </c>
      <c r="S251" t="s">
        <v>149</v>
      </c>
      <c r="T251">
        <v>0</v>
      </c>
      <c r="U251">
        <v>8</v>
      </c>
      <c r="V251">
        <v>10</v>
      </c>
      <c r="W251">
        <v>12</v>
      </c>
    </row>
    <row r="252" spans="1:23">
      <c r="A252">
        <v>263</v>
      </c>
      <c r="B252" t="s">
        <v>151</v>
      </c>
      <c r="C252" t="s">
        <v>162</v>
      </c>
      <c r="D252">
        <v>18</v>
      </c>
      <c r="E252" t="s">
        <v>41</v>
      </c>
      <c r="F252" t="s">
        <v>144</v>
      </c>
      <c r="G252" t="s">
        <v>145</v>
      </c>
      <c r="H252" t="s">
        <v>158</v>
      </c>
      <c r="I252" t="s">
        <v>100</v>
      </c>
      <c r="J252" t="s">
        <v>147</v>
      </c>
      <c r="K252" t="s">
        <v>147</v>
      </c>
      <c r="L252" t="s">
        <v>161</v>
      </c>
      <c r="M252">
        <v>0</v>
      </c>
      <c r="N252" t="s">
        <v>149</v>
      </c>
      <c r="O252" t="s">
        <v>149</v>
      </c>
      <c r="P252" t="s">
        <v>150</v>
      </c>
      <c r="Q252" t="s">
        <v>149</v>
      </c>
      <c r="R252" t="s">
        <v>149</v>
      </c>
      <c r="S252" t="s">
        <v>149</v>
      </c>
      <c r="T252">
        <v>1</v>
      </c>
      <c r="U252">
        <v>13</v>
      </c>
      <c r="V252">
        <v>12</v>
      </c>
      <c r="W252">
        <v>12</v>
      </c>
    </row>
    <row r="253" spans="1:23">
      <c r="A253">
        <v>67</v>
      </c>
      <c r="B253" t="s">
        <v>151</v>
      </c>
      <c r="C253" t="s">
        <v>162</v>
      </c>
      <c r="D253">
        <v>15</v>
      </c>
      <c r="E253" t="s">
        <v>40</v>
      </c>
      <c r="F253" t="s">
        <v>144</v>
      </c>
      <c r="G253" t="s">
        <v>155</v>
      </c>
      <c r="H253" t="s">
        <v>101</v>
      </c>
      <c r="I253" t="s">
        <v>101</v>
      </c>
      <c r="J253" t="s">
        <v>147</v>
      </c>
      <c r="K253" t="s">
        <v>153</v>
      </c>
      <c r="L253" t="s">
        <v>154</v>
      </c>
      <c r="M253">
        <v>0</v>
      </c>
      <c r="N253" t="s">
        <v>149</v>
      </c>
      <c r="O253" t="s">
        <v>149</v>
      </c>
      <c r="P253" t="s">
        <v>150</v>
      </c>
      <c r="Q253" t="s">
        <v>149</v>
      </c>
      <c r="R253" t="s">
        <v>150</v>
      </c>
      <c r="S253" t="s">
        <v>150</v>
      </c>
      <c r="T253">
        <v>4</v>
      </c>
      <c r="U253">
        <v>13</v>
      </c>
      <c r="V253">
        <v>13</v>
      </c>
      <c r="W253">
        <v>12</v>
      </c>
    </row>
    <row r="254" spans="1:23">
      <c r="A254">
        <v>242</v>
      </c>
      <c r="B254" t="s">
        <v>151</v>
      </c>
      <c r="C254" t="s">
        <v>162</v>
      </c>
      <c r="D254">
        <v>17</v>
      </c>
      <c r="E254" t="s">
        <v>41</v>
      </c>
      <c r="F254" t="s">
        <v>152</v>
      </c>
      <c r="G254" t="s">
        <v>155</v>
      </c>
      <c r="H254" t="s">
        <v>101</v>
      </c>
      <c r="I254" t="s">
        <v>101</v>
      </c>
      <c r="J254" t="s">
        <v>160</v>
      </c>
      <c r="K254" t="s">
        <v>147</v>
      </c>
      <c r="L254" t="s">
        <v>148</v>
      </c>
      <c r="M254">
        <v>0</v>
      </c>
      <c r="N254" t="s">
        <v>149</v>
      </c>
      <c r="O254" t="s">
        <v>150</v>
      </c>
      <c r="P254" t="s">
        <v>149</v>
      </c>
      <c r="Q254" t="s">
        <v>150</v>
      </c>
      <c r="R254" t="s">
        <v>150</v>
      </c>
      <c r="S254" t="s">
        <v>149</v>
      </c>
      <c r="T254">
        <v>2</v>
      </c>
      <c r="U254">
        <v>10</v>
      </c>
      <c r="V254">
        <v>11</v>
      </c>
      <c r="W254">
        <v>12</v>
      </c>
    </row>
    <row r="255" spans="1:23">
      <c r="A255">
        <v>362</v>
      </c>
      <c r="B255" t="s">
        <v>142</v>
      </c>
      <c r="C255" t="s">
        <v>162</v>
      </c>
      <c r="D255">
        <v>18</v>
      </c>
      <c r="E255" t="s">
        <v>41</v>
      </c>
      <c r="F255" t="s">
        <v>152</v>
      </c>
      <c r="G255" t="s">
        <v>145</v>
      </c>
      <c r="H255" t="s">
        <v>146</v>
      </c>
      <c r="I255" t="s">
        <v>146</v>
      </c>
      <c r="J255" t="s">
        <v>156</v>
      </c>
      <c r="K255" t="s">
        <v>147</v>
      </c>
      <c r="L255" t="s">
        <v>148</v>
      </c>
      <c r="M255">
        <v>1</v>
      </c>
      <c r="N255" t="s">
        <v>149</v>
      </c>
      <c r="O255" t="s">
        <v>149</v>
      </c>
      <c r="P255" t="s">
        <v>150</v>
      </c>
      <c r="Q255" t="s">
        <v>149</v>
      </c>
      <c r="R255" t="s">
        <v>149</v>
      </c>
      <c r="S255" t="s">
        <v>149</v>
      </c>
      <c r="T255">
        <v>2</v>
      </c>
      <c r="U255">
        <v>13</v>
      </c>
      <c r="V255">
        <v>12</v>
      </c>
      <c r="W255">
        <v>12</v>
      </c>
    </row>
    <row r="256" spans="1:23">
      <c r="A256">
        <v>372</v>
      </c>
      <c r="B256" t="s">
        <v>142</v>
      </c>
      <c r="C256" t="s">
        <v>162</v>
      </c>
      <c r="D256">
        <v>18</v>
      </c>
      <c r="E256" t="s">
        <v>41</v>
      </c>
      <c r="F256" t="s">
        <v>152</v>
      </c>
      <c r="G256" t="s">
        <v>145</v>
      </c>
      <c r="H256" t="s">
        <v>146</v>
      </c>
      <c r="I256" t="s">
        <v>100</v>
      </c>
      <c r="J256" t="s">
        <v>156</v>
      </c>
      <c r="K256" t="s">
        <v>153</v>
      </c>
      <c r="L256" t="s">
        <v>157</v>
      </c>
      <c r="M256">
        <v>0</v>
      </c>
      <c r="N256" t="s">
        <v>149</v>
      </c>
      <c r="O256" t="s">
        <v>150</v>
      </c>
      <c r="P256" t="s">
        <v>150</v>
      </c>
      <c r="Q256" t="s">
        <v>150</v>
      </c>
      <c r="R256" t="s">
        <v>150</v>
      </c>
      <c r="S256" t="s">
        <v>150</v>
      </c>
      <c r="T256">
        <v>3</v>
      </c>
      <c r="U256">
        <v>14</v>
      </c>
      <c r="V256">
        <v>12</v>
      </c>
      <c r="W256">
        <v>12</v>
      </c>
    </row>
    <row r="257" spans="1:23">
      <c r="A257">
        <v>182</v>
      </c>
      <c r="B257" t="s">
        <v>151</v>
      </c>
      <c r="C257" t="s">
        <v>162</v>
      </c>
      <c r="D257">
        <v>16</v>
      </c>
      <c r="E257" t="s">
        <v>40</v>
      </c>
      <c r="F257" t="s">
        <v>144</v>
      </c>
      <c r="G257" t="s">
        <v>145</v>
      </c>
      <c r="H257" t="s">
        <v>158</v>
      </c>
      <c r="I257" t="s">
        <v>158</v>
      </c>
      <c r="J257" t="s">
        <v>153</v>
      </c>
      <c r="K257" t="s">
        <v>147</v>
      </c>
      <c r="L257" t="s">
        <v>148</v>
      </c>
      <c r="M257">
        <v>0</v>
      </c>
      <c r="N257" t="s">
        <v>149</v>
      </c>
      <c r="O257" t="s">
        <v>150</v>
      </c>
      <c r="P257" t="s">
        <v>150</v>
      </c>
      <c r="Q257" t="s">
        <v>150</v>
      </c>
      <c r="R257" t="s">
        <v>150</v>
      </c>
      <c r="S257" t="s">
        <v>150</v>
      </c>
      <c r="T257">
        <v>2</v>
      </c>
      <c r="U257">
        <v>12</v>
      </c>
      <c r="V257">
        <v>13</v>
      </c>
      <c r="W257">
        <v>12</v>
      </c>
    </row>
    <row r="258" spans="1:23">
      <c r="A258">
        <v>309</v>
      </c>
      <c r="B258" t="s">
        <v>151</v>
      </c>
      <c r="C258" t="s">
        <v>162</v>
      </c>
      <c r="D258">
        <v>19</v>
      </c>
      <c r="E258" t="s">
        <v>41</v>
      </c>
      <c r="F258" t="s">
        <v>144</v>
      </c>
      <c r="G258" t="s">
        <v>145</v>
      </c>
      <c r="H258" t="s">
        <v>158</v>
      </c>
      <c r="I258" t="s">
        <v>158</v>
      </c>
      <c r="J258" t="s">
        <v>147</v>
      </c>
      <c r="K258" t="s">
        <v>153</v>
      </c>
      <c r="L258" t="s">
        <v>148</v>
      </c>
      <c r="M258">
        <v>1</v>
      </c>
      <c r="N258" t="s">
        <v>149</v>
      </c>
      <c r="O258" t="s">
        <v>149</v>
      </c>
      <c r="P258" t="s">
        <v>150</v>
      </c>
      <c r="Q258" t="s">
        <v>150</v>
      </c>
      <c r="R258" t="s">
        <v>149</v>
      </c>
      <c r="S258" t="s">
        <v>150</v>
      </c>
      <c r="T258">
        <v>0</v>
      </c>
      <c r="U258">
        <v>15</v>
      </c>
      <c r="V258">
        <v>12</v>
      </c>
      <c r="W258">
        <v>12</v>
      </c>
    </row>
    <row r="259" spans="1:23">
      <c r="A259">
        <v>228</v>
      </c>
      <c r="B259" t="s">
        <v>151</v>
      </c>
      <c r="C259" t="s">
        <v>162</v>
      </c>
      <c r="D259">
        <v>17</v>
      </c>
      <c r="E259" t="s">
        <v>40</v>
      </c>
      <c r="F259" t="s">
        <v>152</v>
      </c>
      <c r="G259" t="s">
        <v>145</v>
      </c>
      <c r="H259" t="s">
        <v>100</v>
      </c>
      <c r="I259" t="s">
        <v>158</v>
      </c>
      <c r="J259" t="s">
        <v>153</v>
      </c>
      <c r="K259" t="s">
        <v>153</v>
      </c>
      <c r="L259" t="s">
        <v>148</v>
      </c>
      <c r="M259">
        <v>0</v>
      </c>
      <c r="N259" t="s">
        <v>149</v>
      </c>
      <c r="O259" t="s">
        <v>150</v>
      </c>
      <c r="P259" t="s">
        <v>149</v>
      </c>
      <c r="Q259" t="s">
        <v>149</v>
      </c>
      <c r="R259" t="s">
        <v>150</v>
      </c>
      <c r="S259" t="s">
        <v>149</v>
      </c>
      <c r="T259">
        <v>2</v>
      </c>
      <c r="U259">
        <v>12</v>
      </c>
      <c r="V259">
        <v>11</v>
      </c>
      <c r="W259">
        <v>12</v>
      </c>
    </row>
    <row r="260" spans="1:23">
      <c r="A260">
        <v>42</v>
      </c>
      <c r="B260" t="s">
        <v>151</v>
      </c>
      <c r="C260" t="s">
        <v>162</v>
      </c>
      <c r="D260">
        <v>15</v>
      </c>
      <c r="E260" t="s">
        <v>40</v>
      </c>
      <c r="F260" t="s">
        <v>152</v>
      </c>
      <c r="G260" t="s">
        <v>145</v>
      </c>
      <c r="H260" t="s">
        <v>101</v>
      </c>
      <c r="I260" t="s">
        <v>101</v>
      </c>
      <c r="J260" t="s">
        <v>160</v>
      </c>
      <c r="K260" t="s">
        <v>147</v>
      </c>
      <c r="L260" t="s">
        <v>157</v>
      </c>
      <c r="M260">
        <v>0</v>
      </c>
      <c r="N260" t="s">
        <v>149</v>
      </c>
      <c r="O260" t="s">
        <v>149</v>
      </c>
      <c r="P260" t="s">
        <v>149</v>
      </c>
      <c r="Q260" t="s">
        <v>149</v>
      </c>
      <c r="R260" t="s">
        <v>150</v>
      </c>
      <c r="S260" t="s">
        <v>150</v>
      </c>
      <c r="T260">
        <v>8</v>
      </c>
      <c r="U260">
        <v>12</v>
      </c>
      <c r="V260">
        <v>12</v>
      </c>
      <c r="W260">
        <v>12</v>
      </c>
    </row>
    <row r="261" spans="1:23">
      <c r="A261">
        <v>139</v>
      </c>
      <c r="B261" t="s">
        <v>151</v>
      </c>
      <c r="C261" t="s">
        <v>162</v>
      </c>
      <c r="D261">
        <v>16</v>
      </c>
      <c r="E261" t="s">
        <v>40</v>
      </c>
      <c r="F261" t="s">
        <v>152</v>
      </c>
      <c r="G261" t="s">
        <v>145</v>
      </c>
      <c r="H261" t="s">
        <v>146</v>
      </c>
      <c r="I261" t="s">
        <v>146</v>
      </c>
      <c r="J261" t="s">
        <v>153</v>
      </c>
      <c r="K261" t="s">
        <v>147</v>
      </c>
      <c r="L261" t="s">
        <v>148</v>
      </c>
      <c r="M261">
        <v>1</v>
      </c>
      <c r="N261" t="s">
        <v>149</v>
      </c>
      <c r="O261" t="s">
        <v>149</v>
      </c>
      <c r="P261" t="s">
        <v>149</v>
      </c>
      <c r="Q261" t="s">
        <v>150</v>
      </c>
      <c r="R261" t="s">
        <v>149</v>
      </c>
      <c r="S261" t="s">
        <v>150</v>
      </c>
      <c r="T261">
        <v>0</v>
      </c>
      <c r="U261">
        <v>14</v>
      </c>
      <c r="V261">
        <v>12</v>
      </c>
      <c r="W261">
        <v>12</v>
      </c>
    </row>
    <row r="262" spans="1:23">
      <c r="A262">
        <v>24</v>
      </c>
      <c r="B262" t="s">
        <v>151</v>
      </c>
      <c r="C262" t="s">
        <v>162</v>
      </c>
      <c r="D262">
        <v>16</v>
      </c>
      <c r="E262" t="s">
        <v>40</v>
      </c>
      <c r="F262" t="s">
        <v>152</v>
      </c>
      <c r="G262" t="s">
        <v>145</v>
      </c>
      <c r="H262" t="s">
        <v>100</v>
      </c>
      <c r="I262" t="s">
        <v>100</v>
      </c>
      <c r="J262" t="s">
        <v>147</v>
      </c>
      <c r="K262" t="s">
        <v>147</v>
      </c>
      <c r="L262" t="s">
        <v>148</v>
      </c>
      <c r="M262">
        <v>0</v>
      </c>
      <c r="N262" t="s">
        <v>149</v>
      </c>
      <c r="O262" t="s">
        <v>149</v>
      </c>
      <c r="P262" t="s">
        <v>150</v>
      </c>
      <c r="Q262" t="s">
        <v>150</v>
      </c>
      <c r="R262" t="s">
        <v>150</v>
      </c>
      <c r="S262" t="s">
        <v>149</v>
      </c>
      <c r="T262">
        <v>0</v>
      </c>
      <c r="U262">
        <v>13</v>
      </c>
      <c r="V262">
        <v>13</v>
      </c>
      <c r="W262">
        <v>12</v>
      </c>
    </row>
    <row r="263" spans="1:23">
      <c r="A263">
        <v>241</v>
      </c>
      <c r="B263" t="s">
        <v>151</v>
      </c>
      <c r="C263" t="s">
        <v>162</v>
      </c>
      <c r="D263">
        <v>17</v>
      </c>
      <c r="E263" t="s">
        <v>40</v>
      </c>
      <c r="F263" t="s">
        <v>152</v>
      </c>
      <c r="G263" t="s">
        <v>145</v>
      </c>
      <c r="H263" t="s">
        <v>101</v>
      </c>
      <c r="I263" t="s">
        <v>158</v>
      </c>
      <c r="J263" t="s">
        <v>159</v>
      </c>
      <c r="K263" t="s">
        <v>147</v>
      </c>
      <c r="L263" t="s">
        <v>148</v>
      </c>
      <c r="M263">
        <v>0</v>
      </c>
      <c r="N263" t="s">
        <v>149</v>
      </c>
      <c r="O263" t="s">
        <v>149</v>
      </c>
      <c r="P263" t="s">
        <v>150</v>
      </c>
      <c r="Q263" t="s">
        <v>150</v>
      </c>
      <c r="R263" t="s">
        <v>150</v>
      </c>
      <c r="S263" t="s">
        <v>150</v>
      </c>
      <c r="T263">
        <v>14</v>
      </c>
      <c r="U263">
        <v>12</v>
      </c>
      <c r="V263">
        <v>12</v>
      </c>
      <c r="W263">
        <v>12</v>
      </c>
    </row>
    <row r="264" spans="1:23">
      <c r="A264">
        <v>160</v>
      </c>
      <c r="B264" t="s">
        <v>151</v>
      </c>
      <c r="C264" t="s">
        <v>162</v>
      </c>
      <c r="D264">
        <v>16</v>
      </c>
      <c r="E264" t="s">
        <v>40</v>
      </c>
      <c r="F264" t="s">
        <v>144</v>
      </c>
      <c r="G264" t="s">
        <v>145</v>
      </c>
      <c r="H264" t="s">
        <v>158</v>
      </c>
      <c r="I264" t="s">
        <v>158</v>
      </c>
      <c r="J264" t="s">
        <v>147</v>
      </c>
      <c r="K264" t="s">
        <v>153</v>
      </c>
      <c r="L264" t="s">
        <v>148</v>
      </c>
      <c r="M264">
        <v>1</v>
      </c>
      <c r="N264" t="s">
        <v>149</v>
      </c>
      <c r="O264" t="s">
        <v>150</v>
      </c>
      <c r="P264" t="s">
        <v>149</v>
      </c>
      <c r="Q264" t="s">
        <v>150</v>
      </c>
      <c r="R264" t="s">
        <v>150</v>
      </c>
      <c r="S264" t="s">
        <v>150</v>
      </c>
      <c r="T264">
        <v>4</v>
      </c>
      <c r="U264">
        <v>10</v>
      </c>
      <c r="V264">
        <v>12</v>
      </c>
      <c r="W264">
        <v>12</v>
      </c>
    </row>
    <row r="265" spans="1:23">
      <c r="A265">
        <v>126</v>
      </c>
      <c r="B265" t="s">
        <v>151</v>
      </c>
      <c r="C265" t="s">
        <v>162</v>
      </c>
      <c r="D265">
        <v>15</v>
      </c>
      <c r="E265" t="s">
        <v>40</v>
      </c>
      <c r="F265" t="s">
        <v>144</v>
      </c>
      <c r="G265" t="s">
        <v>145</v>
      </c>
      <c r="H265" t="s">
        <v>158</v>
      </c>
      <c r="I265" t="s">
        <v>101</v>
      </c>
      <c r="J265" t="s">
        <v>153</v>
      </c>
      <c r="K265" t="s">
        <v>153</v>
      </c>
      <c r="L265" t="s">
        <v>157</v>
      </c>
      <c r="M265">
        <v>0</v>
      </c>
      <c r="N265" t="s">
        <v>150</v>
      </c>
      <c r="O265" t="s">
        <v>149</v>
      </c>
      <c r="P265" t="s">
        <v>149</v>
      </c>
      <c r="Q265" t="s">
        <v>150</v>
      </c>
      <c r="R265" t="s">
        <v>150</v>
      </c>
      <c r="S265" t="s">
        <v>149</v>
      </c>
      <c r="T265">
        <v>0</v>
      </c>
      <c r="U265">
        <v>13</v>
      </c>
      <c r="V265">
        <v>13</v>
      </c>
      <c r="W265">
        <v>12</v>
      </c>
    </row>
    <row r="266" spans="1:23">
      <c r="A266">
        <v>312</v>
      </c>
      <c r="B266" t="s">
        <v>151</v>
      </c>
      <c r="C266" t="s">
        <v>143</v>
      </c>
      <c r="D266">
        <v>19</v>
      </c>
      <c r="E266" t="s">
        <v>40</v>
      </c>
      <c r="F266" t="s">
        <v>144</v>
      </c>
      <c r="G266" t="s">
        <v>145</v>
      </c>
      <c r="H266" t="s">
        <v>100</v>
      </c>
      <c r="I266" t="s">
        <v>146</v>
      </c>
      <c r="J266" t="s">
        <v>156</v>
      </c>
      <c r="K266" t="s">
        <v>147</v>
      </c>
      <c r="L266" t="s">
        <v>148</v>
      </c>
      <c r="M266">
        <v>0</v>
      </c>
      <c r="N266" t="s">
        <v>149</v>
      </c>
      <c r="O266" t="s">
        <v>149</v>
      </c>
      <c r="P266" t="s">
        <v>149</v>
      </c>
      <c r="Q266" t="s">
        <v>150</v>
      </c>
      <c r="R266" t="s">
        <v>150</v>
      </c>
      <c r="S266" t="s">
        <v>150</v>
      </c>
      <c r="T266">
        <v>20</v>
      </c>
      <c r="U266">
        <v>14</v>
      </c>
      <c r="V266">
        <v>12</v>
      </c>
      <c r="W266">
        <v>13</v>
      </c>
    </row>
    <row r="267" spans="1:23">
      <c r="A267">
        <v>40</v>
      </c>
      <c r="B267" t="s">
        <v>151</v>
      </c>
      <c r="C267" t="s">
        <v>143</v>
      </c>
      <c r="D267">
        <v>15</v>
      </c>
      <c r="E267" t="s">
        <v>41</v>
      </c>
      <c r="F267" t="s">
        <v>144</v>
      </c>
      <c r="G267" t="s">
        <v>145</v>
      </c>
      <c r="H267" t="s">
        <v>100</v>
      </c>
      <c r="I267" t="s">
        <v>100</v>
      </c>
      <c r="J267" t="s">
        <v>156</v>
      </c>
      <c r="K267" t="s">
        <v>147</v>
      </c>
      <c r="L267" t="s">
        <v>157</v>
      </c>
      <c r="M267">
        <v>0</v>
      </c>
      <c r="N267" t="s">
        <v>150</v>
      </c>
      <c r="O267" t="s">
        <v>150</v>
      </c>
      <c r="P267" t="s">
        <v>150</v>
      </c>
      <c r="Q267" t="s">
        <v>150</v>
      </c>
      <c r="R267" t="s">
        <v>149</v>
      </c>
      <c r="S267" t="s">
        <v>149</v>
      </c>
      <c r="T267">
        <v>8</v>
      </c>
      <c r="U267">
        <v>14</v>
      </c>
      <c r="V267">
        <v>13</v>
      </c>
      <c r="W267">
        <v>13</v>
      </c>
    </row>
    <row r="268" spans="1:23">
      <c r="A268">
        <v>208</v>
      </c>
      <c r="B268" t="s">
        <v>151</v>
      </c>
      <c r="C268" t="s">
        <v>143</v>
      </c>
      <c r="D268">
        <v>16</v>
      </c>
      <c r="E268" t="s">
        <v>40</v>
      </c>
      <c r="F268" t="s">
        <v>144</v>
      </c>
      <c r="G268" t="s">
        <v>145</v>
      </c>
      <c r="H268" t="s">
        <v>101</v>
      </c>
      <c r="I268" t="s">
        <v>158</v>
      </c>
      <c r="J268" t="s">
        <v>160</v>
      </c>
      <c r="K268" t="s">
        <v>147</v>
      </c>
      <c r="L268" t="s">
        <v>148</v>
      </c>
      <c r="M268">
        <v>0</v>
      </c>
      <c r="N268" t="s">
        <v>149</v>
      </c>
      <c r="O268" t="s">
        <v>150</v>
      </c>
      <c r="P268" t="s">
        <v>150</v>
      </c>
      <c r="Q268" t="s">
        <v>150</v>
      </c>
      <c r="R268" t="s">
        <v>150</v>
      </c>
      <c r="S268" t="s">
        <v>150</v>
      </c>
      <c r="T268">
        <v>10</v>
      </c>
      <c r="U268">
        <v>11</v>
      </c>
      <c r="V268">
        <v>12</v>
      </c>
      <c r="W268">
        <v>13</v>
      </c>
    </row>
    <row r="269" spans="1:23">
      <c r="A269">
        <v>113</v>
      </c>
      <c r="B269" t="s">
        <v>151</v>
      </c>
      <c r="C269" t="s">
        <v>143</v>
      </c>
      <c r="D269">
        <v>16</v>
      </c>
      <c r="E269" t="s">
        <v>40</v>
      </c>
      <c r="F269" t="s">
        <v>144</v>
      </c>
      <c r="G269" t="s">
        <v>145</v>
      </c>
      <c r="H269" t="s">
        <v>100</v>
      </c>
      <c r="I269" t="s">
        <v>100</v>
      </c>
      <c r="J269" t="s">
        <v>156</v>
      </c>
      <c r="K269" t="s">
        <v>147</v>
      </c>
      <c r="L269" t="s">
        <v>148</v>
      </c>
      <c r="M269">
        <v>1</v>
      </c>
      <c r="N269" t="s">
        <v>150</v>
      </c>
      <c r="O269" t="s">
        <v>149</v>
      </c>
      <c r="P269" t="s">
        <v>150</v>
      </c>
      <c r="Q269" t="s">
        <v>150</v>
      </c>
      <c r="R269" t="s">
        <v>150</v>
      </c>
      <c r="S269" t="s">
        <v>149</v>
      </c>
      <c r="T269">
        <v>6</v>
      </c>
      <c r="U269">
        <v>10</v>
      </c>
      <c r="V269">
        <v>13</v>
      </c>
      <c r="W269">
        <v>13</v>
      </c>
    </row>
    <row r="270" spans="1:23">
      <c r="A270">
        <v>123</v>
      </c>
      <c r="B270" t="s">
        <v>151</v>
      </c>
      <c r="C270" t="s">
        <v>143</v>
      </c>
      <c r="D270">
        <v>16</v>
      </c>
      <c r="E270" t="s">
        <v>40</v>
      </c>
      <c r="F270" t="s">
        <v>152</v>
      </c>
      <c r="G270" t="s">
        <v>145</v>
      </c>
      <c r="H270" t="s">
        <v>100</v>
      </c>
      <c r="I270" t="s">
        <v>101</v>
      </c>
      <c r="J270" t="s">
        <v>147</v>
      </c>
      <c r="K270" t="s">
        <v>159</v>
      </c>
      <c r="L270" t="s">
        <v>148</v>
      </c>
      <c r="M270">
        <v>0</v>
      </c>
      <c r="N270" t="s">
        <v>149</v>
      </c>
      <c r="O270" t="s">
        <v>150</v>
      </c>
      <c r="P270" t="s">
        <v>150</v>
      </c>
      <c r="Q270" t="s">
        <v>150</v>
      </c>
      <c r="R270" t="s">
        <v>150</v>
      </c>
      <c r="S270" t="s">
        <v>150</v>
      </c>
      <c r="T270">
        <v>2</v>
      </c>
      <c r="U270">
        <v>13</v>
      </c>
      <c r="V270">
        <v>13</v>
      </c>
      <c r="W270">
        <v>13</v>
      </c>
    </row>
    <row r="271" spans="1:23">
      <c r="A271">
        <v>315</v>
      </c>
      <c r="B271" t="s">
        <v>151</v>
      </c>
      <c r="C271" t="s">
        <v>143</v>
      </c>
      <c r="D271">
        <v>19</v>
      </c>
      <c r="E271" t="s">
        <v>40</v>
      </c>
      <c r="F271" t="s">
        <v>144</v>
      </c>
      <c r="G271" t="s">
        <v>145</v>
      </c>
      <c r="H271" t="s">
        <v>146</v>
      </c>
      <c r="I271" t="s">
        <v>146</v>
      </c>
      <c r="J271" t="s">
        <v>156</v>
      </c>
      <c r="K271" t="s">
        <v>159</v>
      </c>
      <c r="L271" t="s">
        <v>161</v>
      </c>
      <c r="M271">
        <v>2</v>
      </c>
      <c r="N271" t="s">
        <v>149</v>
      </c>
      <c r="O271" t="s">
        <v>149</v>
      </c>
      <c r="P271" t="s">
        <v>149</v>
      </c>
      <c r="Q271" t="s">
        <v>149</v>
      </c>
      <c r="R271" t="s">
        <v>150</v>
      </c>
      <c r="S271" t="s">
        <v>150</v>
      </c>
      <c r="T271">
        <v>14</v>
      </c>
      <c r="U271">
        <v>15</v>
      </c>
      <c r="V271">
        <v>13</v>
      </c>
      <c r="W271">
        <v>13</v>
      </c>
    </row>
    <row r="272" spans="1:23">
      <c r="A272">
        <v>321</v>
      </c>
      <c r="B272" t="s">
        <v>151</v>
      </c>
      <c r="C272" t="s">
        <v>143</v>
      </c>
      <c r="D272">
        <v>17</v>
      </c>
      <c r="E272" t="s">
        <v>40</v>
      </c>
      <c r="F272" t="s">
        <v>144</v>
      </c>
      <c r="G272" t="s">
        <v>155</v>
      </c>
      <c r="H272" t="s">
        <v>101</v>
      </c>
      <c r="I272" t="s">
        <v>158</v>
      </c>
      <c r="J272" t="s">
        <v>153</v>
      </c>
      <c r="K272" t="s">
        <v>153</v>
      </c>
      <c r="L272" t="s">
        <v>148</v>
      </c>
      <c r="M272">
        <v>0</v>
      </c>
      <c r="N272" t="s">
        <v>149</v>
      </c>
      <c r="O272" t="s">
        <v>150</v>
      </c>
      <c r="P272" t="s">
        <v>149</v>
      </c>
      <c r="Q272" t="s">
        <v>150</v>
      </c>
      <c r="R272" t="s">
        <v>150</v>
      </c>
      <c r="S272" t="s">
        <v>150</v>
      </c>
      <c r="T272">
        <v>23</v>
      </c>
      <c r="U272">
        <v>13</v>
      </c>
      <c r="V272">
        <v>13</v>
      </c>
      <c r="W272">
        <v>13</v>
      </c>
    </row>
    <row r="273" spans="1:23">
      <c r="A273">
        <v>51</v>
      </c>
      <c r="B273" t="s">
        <v>151</v>
      </c>
      <c r="C273" t="s">
        <v>143</v>
      </c>
      <c r="D273">
        <v>16</v>
      </c>
      <c r="E273" t="s">
        <v>40</v>
      </c>
      <c r="F273" t="s">
        <v>152</v>
      </c>
      <c r="G273" t="s">
        <v>145</v>
      </c>
      <c r="H273" t="s">
        <v>100</v>
      </c>
      <c r="I273" t="s">
        <v>100</v>
      </c>
      <c r="J273" t="s">
        <v>153</v>
      </c>
      <c r="K273" t="s">
        <v>153</v>
      </c>
      <c r="L273" t="s">
        <v>148</v>
      </c>
      <c r="M273">
        <v>0</v>
      </c>
      <c r="N273" t="s">
        <v>149</v>
      </c>
      <c r="O273" t="s">
        <v>150</v>
      </c>
      <c r="P273" t="s">
        <v>149</v>
      </c>
      <c r="Q273" t="s">
        <v>150</v>
      </c>
      <c r="R273" t="s">
        <v>150</v>
      </c>
      <c r="S273" t="s">
        <v>149</v>
      </c>
      <c r="T273">
        <v>2</v>
      </c>
      <c r="U273">
        <v>12</v>
      </c>
      <c r="V273">
        <v>13</v>
      </c>
      <c r="W273">
        <v>13</v>
      </c>
    </row>
    <row r="274" spans="1:23">
      <c r="A274">
        <v>191</v>
      </c>
      <c r="B274" t="s">
        <v>151</v>
      </c>
      <c r="C274" t="s">
        <v>143</v>
      </c>
      <c r="D274">
        <v>16</v>
      </c>
      <c r="E274" t="s">
        <v>40</v>
      </c>
      <c r="F274" t="s">
        <v>144</v>
      </c>
      <c r="G274" t="s">
        <v>145</v>
      </c>
      <c r="H274" t="s">
        <v>100</v>
      </c>
      <c r="I274" t="s">
        <v>158</v>
      </c>
      <c r="J274" t="s">
        <v>153</v>
      </c>
      <c r="K274" t="s">
        <v>153</v>
      </c>
      <c r="L274" t="s">
        <v>148</v>
      </c>
      <c r="M274">
        <v>0</v>
      </c>
      <c r="N274" t="s">
        <v>149</v>
      </c>
      <c r="O274" t="s">
        <v>149</v>
      </c>
      <c r="P274" t="s">
        <v>149</v>
      </c>
      <c r="Q274" t="s">
        <v>150</v>
      </c>
      <c r="R274" t="s">
        <v>150</v>
      </c>
      <c r="S274" t="s">
        <v>149</v>
      </c>
      <c r="T274">
        <v>10</v>
      </c>
      <c r="U274">
        <v>11</v>
      </c>
      <c r="V274">
        <v>12</v>
      </c>
      <c r="W274">
        <v>13</v>
      </c>
    </row>
    <row r="275" spans="1:23">
      <c r="A275">
        <v>52</v>
      </c>
      <c r="B275" t="s">
        <v>151</v>
      </c>
      <c r="C275" t="s">
        <v>143</v>
      </c>
      <c r="D275">
        <v>15</v>
      </c>
      <c r="E275" t="s">
        <v>40</v>
      </c>
      <c r="F275" t="s">
        <v>152</v>
      </c>
      <c r="G275" t="s">
        <v>145</v>
      </c>
      <c r="H275" t="s">
        <v>101</v>
      </c>
      <c r="I275" t="s">
        <v>100</v>
      </c>
      <c r="J275" t="s">
        <v>159</v>
      </c>
      <c r="K275" t="s">
        <v>147</v>
      </c>
      <c r="L275" t="s">
        <v>148</v>
      </c>
      <c r="M275">
        <v>0</v>
      </c>
      <c r="N275" t="s">
        <v>149</v>
      </c>
      <c r="O275" t="s">
        <v>150</v>
      </c>
      <c r="P275" t="s">
        <v>149</v>
      </c>
      <c r="Q275" t="s">
        <v>150</v>
      </c>
      <c r="R275" t="s">
        <v>150</v>
      </c>
      <c r="S275" t="s">
        <v>149</v>
      </c>
      <c r="T275">
        <v>2</v>
      </c>
      <c r="U275">
        <v>11</v>
      </c>
      <c r="V275">
        <v>13</v>
      </c>
      <c r="W275">
        <v>13</v>
      </c>
    </row>
    <row r="276" spans="1:23">
      <c r="A276">
        <v>257</v>
      </c>
      <c r="B276" t="s">
        <v>151</v>
      </c>
      <c r="C276" t="s">
        <v>143</v>
      </c>
      <c r="D276">
        <v>17</v>
      </c>
      <c r="E276" t="s">
        <v>40</v>
      </c>
      <c r="F276" t="s">
        <v>152</v>
      </c>
      <c r="G276" t="s">
        <v>145</v>
      </c>
      <c r="H276" t="s">
        <v>101</v>
      </c>
      <c r="I276" t="s">
        <v>100</v>
      </c>
      <c r="J276" t="s">
        <v>160</v>
      </c>
      <c r="K276" t="s">
        <v>153</v>
      </c>
      <c r="L276" t="s">
        <v>154</v>
      </c>
      <c r="M276">
        <v>0</v>
      </c>
      <c r="N276" t="s">
        <v>149</v>
      </c>
      <c r="O276" t="s">
        <v>150</v>
      </c>
      <c r="P276" t="s">
        <v>150</v>
      </c>
      <c r="Q276" t="s">
        <v>150</v>
      </c>
      <c r="R276" t="s">
        <v>150</v>
      </c>
      <c r="S276" t="s">
        <v>149</v>
      </c>
      <c r="T276">
        <v>6</v>
      </c>
      <c r="U276">
        <v>14</v>
      </c>
      <c r="V276">
        <v>12</v>
      </c>
      <c r="W276">
        <v>13</v>
      </c>
    </row>
    <row r="277" spans="1:23">
      <c r="A277">
        <v>357</v>
      </c>
      <c r="B277" t="s">
        <v>142</v>
      </c>
      <c r="C277" t="s">
        <v>143</v>
      </c>
      <c r="D277">
        <v>17</v>
      </c>
      <c r="E277" t="s">
        <v>41</v>
      </c>
      <c r="F277" t="s">
        <v>144</v>
      </c>
      <c r="G277" t="s">
        <v>145</v>
      </c>
      <c r="H277" t="s">
        <v>101</v>
      </c>
      <c r="I277" t="s">
        <v>101</v>
      </c>
      <c r="J277" t="s">
        <v>160</v>
      </c>
      <c r="K277" t="s">
        <v>153</v>
      </c>
      <c r="L277" t="s">
        <v>148</v>
      </c>
      <c r="M277">
        <v>0</v>
      </c>
      <c r="N277" t="s">
        <v>149</v>
      </c>
      <c r="O277" t="s">
        <v>150</v>
      </c>
      <c r="P277" t="s">
        <v>150</v>
      </c>
      <c r="Q277" t="s">
        <v>150</v>
      </c>
      <c r="R277" t="s">
        <v>150</v>
      </c>
      <c r="S277" t="s">
        <v>149</v>
      </c>
      <c r="T277">
        <v>4</v>
      </c>
      <c r="U277">
        <v>12</v>
      </c>
      <c r="V277">
        <v>13</v>
      </c>
      <c r="W277">
        <v>13</v>
      </c>
    </row>
    <row r="278" spans="1:23">
      <c r="A278">
        <v>293</v>
      </c>
      <c r="B278" t="s">
        <v>151</v>
      </c>
      <c r="C278" t="s">
        <v>143</v>
      </c>
      <c r="D278">
        <v>18</v>
      </c>
      <c r="E278" t="s">
        <v>40</v>
      </c>
      <c r="F278" t="s">
        <v>152</v>
      </c>
      <c r="G278" t="s">
        <v>145</v>
      </c>
      <c r="H278" t="s">
        <v>100</v>
      </c>
      <c r="I278" t="s">
        <v>146</v>
      </c>
      <c r="J278" t="s">
        <v>153</v>
      </c>
      <c r="K278" t="s">
        <v>156</v>
      </c>
      <c r="L278" t="s">
        <v>148</v>
      </c>
      <c r="M278">
        <v>1</v>
      </c>
      <c r="N278" t="s">
        <v>149</v>
      </c>
      <c r="O278" t="s">
        <v>149</v>
      </c>
      <c r="P278" t="s">
        <v>149</v>
      </c>
      <c r="Q278" t="s">
        <v>150</v>
      </c>
      <c r="R278" t="s">
        <v>150</v>
      </c>
      <c r="S278" t="s">
        <v>150</v>
      </c>
      <c r="T278">
        <v>12</v>
      </c>
      <c r="U278">
        <v>12</v>
      </c>
      <c r="V278">
        <v>12</v>
      </c>
      <c r="W278">
        <v>13</v>
      </c>
    </row>
    <row r="279" spans="1:23">
      <c r="A279">
        <v>337</v>
      </c>
      <c r="B279" t="s">
        <v>151</v>
      </c>
      <c r="C279" t="s">
        <v>143</v>
      </c>
      <c r="D279">
        <v>19</v>
      </c>
      <c r="E279" t="s">
        <v>41</v>
      </c>
      <c r="F279" t="s">
        <v>144</v>
      </c>
      <c r="G279" t="s">
        <v>155</v>
      </c>
      <c r="H279" t="s">
        <v>158</v>
      </c>
      <c r="I279" t="s">
        <v>146</v>
      </c>
      <c r="J279" t="s">
        <v>153</v>
      </c>
      <c r="K279" t="s">
        <v>156</v>
      </c>
      <c r="L279" t="s">
        <v>161</v>
      </c>
      <c r="M279">
        <v>1</v>
      </c>
      <c r="N279" t="s">
        <v>149</v>
      </c>
      <c r="O279" t="s">
        <v>150</v>
      </c>
      <c r="P279" t="s">
        <v>149</v>
      </c>
      <c r="Q279" t="s">
        <v>150</v>
      </c>
      <c r="R279" t="s">
        <v>149</v>
      </c>
      <c r="S279" t="s">
        <v>149</v>
      </c>
      <c r="T279">
        <v>12</v>
      </c>
      <c r="U279">
        <v>14</v>
      </c>
      <c r="V279">
        <v>13</v>
      </c>
      <c r="W279">
        <v>13</v>
      </c>
    </row>
    <row r="280" spans="1:23">
      <c r="A280">
        <v>144</v>
      </c>
      <c r="B280" t="s">
        <v>151</v>
      </c>
      <c r="C280" t="s">
        <v>143</v>
      </c>
      <c r="D280">
        <v>16</v>
      </c>
      <c r="E280" t="s">
        <v>40</v>
      </c>
      <c r="F280" t="s">
        <v>152</v>
      </c>
      <c r="G280" t="s">
        <v>145</v>
      </c>
      <c r="H280" t="s">
        <v>146</v>
      </c>
      <c r="I280" t="s">
        <v>146</v>
      </c>
      <c r="J280" t="s">
        <v>156</v>
      </c>
      <c r="K280" t="s">
        <v>156</v>
      </c>
      <c r="L280" t="s">
        <v>157</v>
      </c>
      <c r="M280">
        <v>0</v>
      </c>
      <c r="N280" t="s">
        <v>149</v>
      </c>
      <c r="O280" t="s">
        <v>149</v>
      </c>
      <c r="P280" t="s">
        <v>149</v>
      </c>
      <c r="Q280" t="s">
        <v>150</v>
      </c>
      <c r="R280" t="s">
        <v>150</v>
      </c>
      <c r="S280" t="s">
        <v>149</v>
      </c>
      <c r="T280">
        <v>2</v>
      </c>
      <c r="U280">
        <v>14</v>
      </c>
      <c r="V280">
        <v>14</v>
      </c>
      <c r="W280">
        <v>13</v>
      </c>
    </row>
    <row r="281" spans="1:23">
      <c r="A281">
        <v>361</v>
      </c>
      <c r="B281" t="s">
        <v>142</v>
      </c>
      <c r="C281" t="s">
        <v>143</v>
      </c>
      <c r="D281">
        <v>18</v>
      </c>
      <c r="E281" t="s">
        <v>41</v>
      </c>
      <c r="F281" t="s">
        <v>152</v>
      </c>
      <c r="G281" t="s">
        <v>155</v>
      </c>
      <c r="H281" t="s">
        <v>146</v>
      </c>
      <c r="I281" t="s">
        <v>101</v>
      </c>
      <c r="J281" t="s">
        <v>156</v>
      </c>
      <c r="K281" t="s">
        <v>147</v>
      </c>
      <c r="L281" t="s">
        <v>148</v>
      </c>
      <c r="M281">
        <v>0</v>
      </c>
      <c r="N281" t="s">
        <v>149</v>
      </c>
      <c r="O281" t="s">
        <v>149</v>
      </c>
      <c r="P281" t="s">
        <v>149</v>
      </c>
      <c r="Q281" t="s">
        <v>150</v>
      </c>
      <c r="R281" t="s">
        <v>149</v>
      </c>
      <c r="S281" t="s">
        <v>150</v>
      </c>
      <c r="T281">
        <v>0</v>
      </c>
      <c r="U281">
        <v>13</v>
      </c>
      <c r="V281">
        <v>13</v>
      </c>
      <c r="W281">
        <v>13</v>
      </c>
    </row>
    <row r="282" spans="1:23">
      <c r="A282">
        <v>55</v>
      </c>
      <c r="B282" t="s">
        <v>151</v>
      </c>
      <c r="C282" t="s">
        <v>143</v>
      </c>
      <c r="D282">
        <v>15</v>
      </c>
      <c r="E282" t="s">
        <v>40</v>
      </c>
      <c r="F282" t="s">
        <v>152</v>
      </c>
      <c r="G282" t="s">
        <v>155</v>
      </c>
      <c r="H282" t="s">
        <v>158</v>
      </c>
      <c r="I282" t="s">
        <v>158</v>
      </c>
      <c r="J282" t="s">
        <v>147</v>
      </c>
      <c r="K282" t="s">
        <v>147</v>
      </c>
      <c r="L282" t="s">
        <v>157</v>
      </c>
      <c r="M282">
        <v>0</v>
      </c>
      <c r="N282" t="s">
        <v>149</v>
      </c>
      <c r="O282" t="s">
        <v>150</v>
      </c>
      <c r="P282" t="s">
        <v>149</v>
      </c>
      <c r="Q282" t="s">
        <v>150</v>
      </c>
      <c r="R282" t="s">
        <v>150</v>
      </c>
      <c r="S282" t="s">
        <v>149</v>
      </c>
      <c r="T282">
        <v>6</v>
      </c>
      <c r="U282">
        <v>10</v>
      </c>
      <c r="V282">
        <v>13</v>
      </c>
      <c r="W282">
        <v>13</v>
      </c>
    </row>
    <row r="283" spans="1:23">
      <c r="A283">
        <v>157</v>
      </c>
      <c r="B283" t="s">
        <v>151</v>
      </c>
      <c r="C283" t="s">
        <v>162</v>
      </c>
      <c r="D283">
        <v>17</v>
      </c>
      <c r="E283" t="s">
        <v>41</v>
      </c>
      <c r="F283" t="s">
        <v>152</v>
      </c>
      <c r="G283" t="s">
        <v>145</v>
      </c>
      <c r="H283" t="s">
        <v>146</v>
      </c>
      <c r="I283" t="s">
        <v>100</v>
      </c>
      <c r="J283" t="s">
        <v>147</v>
      </c>
      <c r="K283" t="s">
        <v>147</v>
      </c>
      <c r="L283" t="s">
        <v>157</v>
      </c>
      <c r="M283">
        <v>0</v>
      </c>
      <c r="N283" t="s">
        <v>149</v>
      </c>
      <c r="O283" t="s">
        <v>149</v>
      </c>
      <c r="P283" t="s">
        <v>149</v>
      </c>
      <c r="Q283" t="s">
        <v>150</v>
      </c>
      <c r="R283" t="s">
        <v>149</v>
      </c>
      <c r="S283" t="s">
        <v>149</v>
      </c>
      <c r="T283">
        <v>8</v>
      </c>
      <c r="U283">
        <v>16</v>
      </c>
      <c r="V283">
        <v>12</v>
      </c>
      <c r="W283">
        <v>13</v>
      </c>
    </row>
    <row r="284" spans="1:23">
      <c r="A284">
        <v>237</v>
      </c>
      <c r="B284" t="s">
        <v>151</v>
      </c>
      <c r="C284" t="s">
        <v>162</v>
      </c>
      <c r="D284">
        <v>17</v>
      </c>
      <c r="E284" t="s">
        <v>40</v>
      </c>
      <c r="F284" t="s">
        <v>152</v>
      </c>
      <c r="G284" t="s">
        <v>145</v>
      </c>
      <c r="H284" t="s">
        <v>100</v>
      </c>
      <c r="I284" t="s">
        <v>100</v>
      </c>
      <c r="J284" t="s">
        <v>147</v>
      </c>
      <c r="K284" t="s">
        <v>147</v>
      </c>
      <c r="L284" t="s">
        <v>148</v>
      </c>
      <c r="M284">
        <v>0</v>
      </c>
      <c r="N284" t="s">
        <v>149</v>
      </c>
      <c r="O284" t="s">
        <v>150</v>
      </c>
      <c r="P284" t="s">
        <v>150</v>
      </c>
      <c r="Q284" t="s">
        <v>149</v>
      </c>
      <c r="R284" t="s">
        <v>150</v>
      </c>
      <c r="S284" t="s">
        <v>150</v>
      </c>
      <c r="T284">
        <v>4</v>
      </c>
      <c r="U284">
        <v>14</v>
      </c>
      <c r="V284">
        <v>13</v>
      </c>
      <c r="W284">
        <v>13</v>
      </c>
    </row>
    <row r="285" spans="1:23">
      <c r="A285">
        <v>367</v>
      </c>
      <c r="B285" t="s">
        <v>142</v>
      </c>
      <c r="C285" t="s">
        <v>162</v>
      </c>
      <c r="D285">
        <v>18</v>
      </c>
      <c r="E285" t="s">
        <v>40</v>
      </c>
      <c r="F285" t="s">
        <v>152</v>
      </c>
      <c r="G285" t="s">
        <v>145</v>
      </c>
      <c r="H285" t="s">
        <v>101</v>
      </c>
      <c r="I285" t="s">
        <v>101</v>
      </c>
      <c r="J285" t="s">
        <v>160</v>
      </c>
      <c r="K285" t="s">
        <v>153</v>
      </c>
      <c r="L285" t="s">
        <v>161</v>
      </c>
      <c r="M285">
        <v>0</v>
      </c>
      <c r="N285" t="s">
        <v>149</v>
      </c>
      <c r="O285" t="s">
        <v>150</v>
      </c>
      <c r="P285" t="s">
        <v>149</v>
      </c>
      <c r="Q285" t="s">
        <v>150</v>
      </c>
      <c r="R285" t="s">
        <v>150</v>
      </c>
      <c r="S285" t="s">
        <v>150</v>
      </c>
      <c r="T285">
        <v>0</v>
      </c>
      <c r="U285">
        <v>13</v>
      </c>
      <c r="V285">
        <v>13</v>
      </c>
      <c r="W285">
        <v>13</v>
      </c>
    </row>
    <row r="286" spans="1:23">
      <c r="A286">
        <v>247</v>
      </c>
      <c r="B286" t="s">
        <v>151</v>
      </c>
      <c r="C286" t="s">
        <v>162</v>
      </c>
      <c r="D286">
        <v>17</v>
      </c>
      <c r="E286" t="s">
        <v>40</v>
      </c>
      <c r="F286" t="s">
        <v>144</v>
      </c>
      <c r="G286" t="s">
        <v>145</v>
      </c>
      <c r="H286" t="s">
        <v>100</v>
      </c>
      <c r="I286" t="s">
        <v>158</v>
      </c>
      <c r="J286" t="s">
        <v>147</v>
      </c>
      <c r="K286" t="s">
        <v>147</v>
      </c>
      <c r="L286" t="s">
        <v>157</v>
      </c>
      <c r="M286">
        <v>0</v>
      </c>
      <c r="N286" t="s">
        <v>149</v>
      </c>
      <c r="O286" t="s">
        <v>149</v>
      </c>
      <c r="P286" t="s">
        <v>149</v>
      </c>
      <c r="Q286" t="s">
        <v>150</v>
      </c>
      <c r="R286" t="s">
        <v>150</v>
      </c>
      <c r="S286" t="s">
        <v>149</v>
      </c>
      <c r="T286">
        <v>4</v>
      </c>
      <c r="U286">
        <v>12</v>
      </c>
      <c r="V286">
        <v>12</v>
      </c>
      <c r="W286">
        <v>13</v>
      </c>
    </row>
    <row r="287" spans="1:23">
      <c r="A287">
        <v>118</v>
      </c>
      <c r="B287" t="s">
        <v>151</v>
      </c>
      <c r="C287" t="s">
        <v>162</v>
      </c>
      <c r="D287">
        <v>16</v>
      </c>
      <c r="E287" t="s">
        <v>40</v>
      </c>
      <c r="F287" t="s">
        <v>144</v>
      </c>
      <c r="G287" t="s">
        <v>145</v>
      </c>
      <c r="H287" t="s">
        <v>158</v>
      </c>
      <c r="I287" t="s">
        <v>158</v>
      </c>
      <c r="J287" t="s">
        <v>147</v>
      </c>
      <c r="K287" t="s">
        <v>153</v>
      </c>
      <c r="L287" t="s">
        <v>157</v>
      </c>
      <c r="M287">
        <v>0</v>
      </c>
      <c r="N287" t="s">
        <v>149</v>
      </c>
      <c r="O287" t="s">
        <v>149</v>
      </c>
      <c r="P287" t="s">
        <v>150</v>
      </c>
      <c r="Q287" t="s">
        <v>150</v>
      </c>
      <c r="R287" t="s">
        <v>150</v>
      </c>
      <c r="S287" t="s">
        <v>149</v>
      </c>
      <c r="T287">
        <v>0</v>
      </c>
      <c r="U287">
        <v>13</v>
      </c>
      <c r="V287">
        <v>14</v>
      </c>
      <c r="W287">
        <v>13</v>
      </c>
    </row>
    <row r="288" spans="1:23">
      <c r="A288">
        <v>224</v>
      </c>
      <c r="B288" t="s">
        <v>151</v>
      </c>
      <c r="C288" t="s">
        <v>162</v>
      </c>
      <c r="D288">
        <v>18</v>
      </c>
      <c r="E288" t="s">
        <v>40</v>
      </c>
      <c r="F288" t="s">
        <v>144</v>
      </c>
      <c r="G288" t="s">
        <v>145</v>
      </c>
      <c r="H288" t="s">
        <v>100</v>
      </c>
      <c r="I288" t="s">
        <v>100</v>
      </c>
      <c r="J288" t="s">
        <v>147</v>
      </c>
      <c r="K288" t="s">
        <v>147</v>
      </c>
      <c r="L288" t="s">
        <v>148</v>
      </c>
      <c r="M288">
        <v>0</v>
      </c>
      <c r="N288" t="s">
        <v>149</v>
      </c>
      <c r="O288" t="s">
        <v>150</v>
      </c>
      <c r="P288" t="s">
        <v>149</v>
      </c>
      <c r="Q288" t="s">
        <v>150</v>
      </c>
      <c r="R288" t="s">
        <v>150</v>
      </c>
      <c r="S288" t="s">
        <v>149</v>
      </c>
      <c r="T288">
        <v>0</v>
      </c>
      <c r="U288">
        <v>12</v>
      </c>
      <c r="V288">
        <v>13</v>
      </c>
      <c r="W288">
        <v>13</v>
      </c>
    </row>
    <row r="289" spans="1:23">
      <c r="A289">
        <v>120</v>
      </c>
      <c r="B289" t="s">
        <v>151</v>
      </c>
      <c r="C289" t="s">
        <v>162</v>
      </c>
      <c r="D289">
        <v>15</v>
      </c>
      <c r="E289" t="s">
        <v>40</v>
      </c>
      <c r="F289" t="s">
        <v>144</v>
      </c>
      <c r="G289" t="s">
        <v>145</v>
      </c>
      <c r="H289" t="s">
        <v>158</v>
      </c>
      <c r="I289" t="s">
        <v>101</v>
      </c>
      <c r="J289" t="s">
        <v>147</v>
      </c>
      <c r="K289" t="s">
        <v>147</v>
      </c>
      <c r="L289" t="s">
        <v>157</v>
      </c>
      <c r="M289">
        <v>0</v>
      </c>
      <c r="N289" t="s">
        <v>149</v>
      </c>
      <c r="O289" t="s">
        <v>149</v>
      </c>
      <c r="P289" t="s">
        <v>149</v>
      </c>
      <c r="Q289" t="s">
        <v>150</v>
      </c>
      <c r="R289" t="s">
        <v>150</v>
      </c>
      <c r="S289" t="s">
        <v>149</v>
      </c>
      <c r="T289">
        <v>6</v>
      </c>
      <c r="U289">
        <v>14</v>
      </c>
      <c r="V289">
        <v>13</v>
      </c>
      <c r="W289">
        <v>13</v>
      </c>
    </row>
    <row r="290" spans="1:23">
      <c r="A290">
        <v>124</v>
      </c>
      <c r="B290" t="s">
        <v>151</v>
      </c>
      <c r="C290" t="s">
        <v>162</v>
      </c>
      <c r="D290">
        <v>16</v>
      </c>
      <c r="E290" t="s">
        <v>40</v>
      </c>
      <c r="F290" t="s">
        <v>144</v>
      </c>
      <c r="G290" t="s">
        <v>145</v>
      </c>
      <c r="H290" t="s">
        <v>101</v>
      </c>
      <c r="I290" t="s">
        <v>101</v>
      </c>
      <c r="J290" t="s">
        <v>159</v>
      </c>
      <c r="K290" t="s">
        <v>147</v>
      </c>
      <c r="L290" t="s">
        <v>157</v>
      </c>
      <c r="M290">
        <v>0</v>
      </c>
      <c r="N290" t="s">
        <v>149</v>
      </c>
      <c r="O290" t="s">
        <v>149</v>
      </c>
      <c r="P290" t="s">
        <v>150</v>
      </c>
      <c r="Q290" t="s">
        <v>150</v>
      </c>
      <c r="R290" t="s">
        <v>150</v>
      </c>
      <c r="S290" t="s">
        <v>149</v>
      </c>
      <c r="T290">
        <v>18</v>
      </c>
      <c r="U290">
        <v>14</v>
      </c>
      <c r="V290">
        <v>11</v>
      </c>
      <c r="W290">
        <v>13</v>
      </c>
    </row>
    <row r="291" spans="1:23">
      <c r="A291">
        <v>234</v>
      </c>
      <c r="B291" t="s">
        <v>151</v>
      </c>
      <c r="C291" t="s">
        <v>162</v>
      </c>
      <c r="D291">
        <v>16</v>
      </c>
      <c r="E291" t="s">
        <v>40</v>
      </c>
      <c r="F291" t="s">
        <v>144</v>
      </c>
      <c r="G291" t="s">
        <v>145</v>
      </c>
      <c r="H291" t="s">
        <v>101</v>
      </c>
      <c r="I291" t="s">
        <v>101</v>
      </c>
      <c r="J291" t="s">
        <v>159</v>
      </c>
      <c r="K291" t="s">
        <v>147</v>
      </c>
      <c r="L291" t="s">
        <v>148</v>
      </c>
      <c r="M291">
        <v>0</v>
      </c>
      <c r="N291" t="s">
        <v>149</v>
      </c>
      <c r="O291" t="s">
        <v>150</v>
      </c>
      <c r="P291" t="s">
        <v>150</v>
      </c>
      <c r="Q291" t="s">
        <v>150</v>
      </c>
      <c r="R291" t="s">
        <v>150</v>
      </c>
      <c r="S291" t="s">
        <v>149</v>
      </c>
      <c r="T291">
        <v>2</v>
      </c>
      <c r="U291">
        <v>14</v>
      </c>
      <c r="V291">
        <v>13</v>
      </c>
      <c r="W291">
        <v>13</v>
      </c>
    </row>
    <row r="292" spans="1:23">
      <c r="A292">
        <v>305</v>
      </c>
      <c r="B292" t="s">
        <v>151</v>
      </c>
      <c r="C292" t="s">
        <v>162</v>
      </c>
      <c r="D292">
        <v>19</v>
      </c>
      <c r="E292" t="s">
        <v>40</v>
      </c>
      <c r="F292" t="s">
        <v>144</v>
      </c>
      <c r="G292" t="s">
        <v>145</v>
      </c>
      <c r="H292" t="s">
        <v>158</v>
      </c>
      <c r="I292" t="s">
        <v>158</v>
      </c>
      <c r="J292" t="s">
        <v>147</v>
      </c>
      <c r="K292" t="s">
        <v>147</v>
      </c>
      <c r="L292" t="s">
        <v>148</v>
      </c>
      <c r="M292">
        <v>1</v>
      </c>
      <c r="N292" t="s">
        <v>149</v>
      </c>
      <c r="O292" t="s">
        <v>149</v>
      </c>
      <c r="P292" t="s">
        <v>150</v>
      </c>
      <c r="Q292" t="s">
        <v>150</v>
      </c>
      <c r="R292" t="s">
        <v>150</v>
      </c>
      <c r="S292" t="s">
        <v>150</v>
      </c>
      <c r="T292">
        <v>20</v>
      </c>
      <c r="U292">
        <v>15</v>
      </c>
      <c r="V292">
        <v>14</v>
      </c>
      <c r="W292">
        <v>13</v>
      </c>
    </row>
    <row r="293" spans="1:23">
      <c r="A293">
        <v>352</v>
      </c>
      <c r="B293" t="s">
        <v>142</v>
      </c>
      <c r="C293" t="s">
        <v>162</v>
      </c>
      <c r="D293">
        <v>17</v>
      </c>
      <c r="E293" t="s">
        <v>40</v>
      </c>
      <c r="F293" t="s">
        <v>144</v>
      </c>
      <c r="G293" t="s">
        <v>145</v>
      </c>
      <c r="H293" t="s">
        <v>158</v>
      </c>
      <c r="I293" t="s">
        <v>158</v>
      </c>
      <c r="J293" t="s">
        <v>159</v>
      </c>
      <c r="K293" t="s">
        <v>147</v>
      </c>
      <c r="L293" t="s">
        <v>148</v>
      </c>
      <c r="M293">
        <v>0</v>
      </c>
      <c r="N293" t="s">
        <v>149</v>
      </c>
      <c r="O293" t="s">
        <v>150</v>
      </c>
      <c r="P293" t="s">
        <v>149</v>
      </c>
      <c r="Q293" t="s">
        <v>150</v>
      </c>
      <c r="R293" t="s">
        <v>150</v>
      </c>
      <c r="S293" t="s">
        <v>149</v>
      </c>
      <c r="T293">
        <v>2</v>
      </c>
      <c r="U293">
        <v>13</v>
      </c>
      <c r="V293">
        <v>13</v>
      </c>
      <c r="W293">
        <v>13</v>
      </c>
    </row>
    <row r="294" spans="1:23">
      <c r="A294">
        <v>109</v>
      </c>
      <c r="B294" t="s">
        <v>151</v>
      </c>
      <c r="C294" t="s">
        <v>162</v>
      </c>
      <c r="D294">
        <v>15</v>
      </c>
      <c r="E294" t="s">
        <v>41</v>
      </c>
      <c r="F294" t="s">
        <v>144</v>
      </c>
      <c r="G294" t="s">
        <v>145</v>
      </c>
      <c r="H294" t="s">
        <v>101</v>
      </c>
      <c r="I294" t="s">
        <v>101</v>
      </c>
      <c r="J294" t="s">
        <v>147</v>
      </c>
      <c r="K294" t="s">
        <v>147</v>
      </c>
      <c r="L294" t="s">
        <v>154</v>
      </c>
      <c r="M294">
        <v>0</v>
      </c>
      <c r="N294" t="s">
        <v>149</v>
      </c>
      <c r="O294" t="s">
        <v>150</v>
      </c>
      <c r="P294" t="s">
        <v>150</v>
      </c>
      <c r="Q294" t="s">
        <v>150</v>
      </c>
      <c r="R294" t="s">
        <v>150</v>
      </c>
      <c r="S294" t="s">
        <v>150</v>
      </c>
      <c r="T294">
        <v>6</v>
      </c>
      <c r="U294">
        <v>10</v>
      </c>
      <c r="V294">
        <v>13</v>
      </c>
      <c r="W294">
        <v>13</v>
      </c>
    </row>
    <row r="295" spans="1:23">
      <c r="A295">
        <v>350</v>
      </c>
      <c r="B295" t="s">
        <v>142</v>
      </c>
      <c r="C295" t="s">
        <v>162</v>
      </c>
      <c r="D295">
        <v>18</v>
      </c>
      <c r="E295" t="s">
        <v>41</v>
      </c>
      <c r="F295" t="s">
        <v>144</v>
      </c>
      <c r="G295" t="s">
        <v>145</v>
      </c>
      <c r="H295" t="s">
        <v>158</v>
      </c>
      <c r="I295" t="s">
        <v>100</v>
      </c>
      <c r="J295" t="s">
        <v>147</v>
      </c>
      <c r="K295" t="s">
        <v>147</v>
      </c>
      <c r="L295" t="s">
        <v>157</v>
      </c>
      <c r="M295">
        <v>1</v>
      </c>
      <c r="N295" t="s">
        <v>149</v>
      </c>
      <c r="O295" t="s">
        <v>149</v>
      </c>
      <c r="P295" t="s">
        <v>149</v>
      </c>
      <c r="Q295" t="s">
        <v>149</v>
      </c>
      <c r="R295" t="s">
        <v>150</v>
      </c>
      <c r="S295" t="s">
        <v>149</v>
      </c>
      <c r="T295">
        <v>10</v>
      </c>
      <c r="U295">
        <v>11</v>
      </c>
      <c r="V295">
        <v>13</v>
      </c>
      <c r="W295">
        <v>13</v>
      </c>
    </row>
    <row r="296" spans="1:23">
      <c r="A296">
        <v>212</v>
      </c>
      <c r="B296" t="s">
        <v>151</v>
      </c>
      <c r="C296" t="s">
        <v>162</v>
      </c>
      <c r="D296">
        <v>17</v>
      </c>
      <c r="E296" t="s">
        <v>40</v>
      </c>
      <c r="F296" t="s">
        <v>152</v>
      </c>
      <c r="G296" t="s">
        <v>145</v>
      </c>
      <c r="H296" t="s">
        <v>101</v>
      </c>
      <c r="I296" t="s">
        <v>101</v>
      </c>
      <c r="J296" t="s">
        <v>153</v>
      </c>
      <c r="K296" t="s">
        <v>147</v>
      </c>
      <c r="L296" t="s">
        <v>148</v>
      </c>
      <c r="M296">
        <v>0</v>
      </c>
      <c r="N296" t="s">
        <v>149</v>
      </c>
      <c r="O296" t="s">
        <v>150</v>
      </c>
      <c r="P296" t="s">
        <v>149</v>
      </c>
      <c r="Q296" t="s">
        <v>150</v>
      </c>
      <c r="R296" t="s">
        <v>150</v>
      </c>
      <c r="S296" t="s">
        <v>150</v>
      </c>
      <c r="T296">
        <v>13</v>
      </c>
      <c r="U296">
        <v>12</v>
      </c>
      <c r="V296">
        <v>12</v>
      </c>
      <c r="W296">
        <v>13</v>
      </c>
    </row>
    <row r="297" spans="1:23">
      <c r="A297">
        <v>170</v>
      </c>
      <c r="B297" t="s">
        <v>151</v>
      </c>
      <c r="C297" t="s">
        <v>143</v>
      </c>
      <c r="D297">
        <v>16</v>
      </c>
      <c r="E297" t="s">
        <v>40</v>
      </c>
      <c r="F297" t="s">
        <v>144</v>
      </c>
      <c r="G297" t="s">
        <v>145</v>
      </c>
      <c r="H297" t="s">
        <v>101</v>
      </c>
      <c r="I297" t="s">
        <v>101</v>
      </c>
      <c r="J297" t="s">
        <v>159</v>
      </c>
      <c r="K297" t="s">
        <v>159</v>
      </c>
      <c r="L297" t="s">
        <v>148</v>
      </c>
      <c r="M297">
        <v>0</v>
      </c>
      <c r="N297" t="s">
        <v>149</v>
      </c>
      <c r="O297" t="s">
        <v>150</v>
      </c>
      <c r="P297" t="s">
        <v>149</v>
      </c>
      <c r="Q297" t="s">
        <v>150</v>
      </c>
      <c r="R297" t="s">
        <v>150</v>
      </c>
      <c r="S297" t="s">
        <v>150</v>
      </c>
      <c r="T297">
        <v>0</v>
      </c>
      <c r="U297">
        <v>14</v>
      </c>
      <c r="V297">
        <v>14</v>
      </c>
      <c r="W297">
        <v>14</v>
      </c>
    </row>
    <row r="298" spans="1:23">
      <c r="A298">
        <v>225</v>
      </c>
      <c r="B298" t="s">
        <v>151</v>
      </c>
      <c r="C298" t="s">
        <v>143</v>
      </c>
      <c r="D298">
        <v>16</v>
      </c>
      <c r="E298" t="s">
        <v>40</v>
      </c>
      <c r="F298" t="s">
        <v>144</v>
      </c>
      <c r="G298" t="s">
        <v>145</v>
      </c>
      <c r="H298" t="s">
        <v>101</v>
      </c>
      <c r="I298" t="s">
        <v>101</v>
      </c>
      <c r="J298" t="s">
        <v>160</v>
      </c>
      <c r="K298" t="s">
        <v>153</v>
      </c>
      <c r="L298" t="s">
        <v>161</v>
      </c>
      <c r="M298">
        <v>0</v>
      </c>
      <c r="N298" t="s">
        <v>149</v>
      </c>
      <c r="O298" t="s">
        <v>149</v>
      </c>
      <c r="P298" t="s">
        <v>150</v>
      </c>
      <c r="Q298" t="s">
        <v>149</v>
      </c>
      <c r="R298" t="s">
        <v>150</v>
      </c>
      <c r="S298" t="s">
        <v>149</v>
      </c>
      <c r="T298">
        <v>0</v>
      </c>
      <c r="U298">
        <v>13</v>
      </c>
      <c r="V298">
        <v>13</v>
      </c>
      <c r="W298">
        <v>14</v>
      </c>
    </row>
    <row r="299" spans="1:23">
      <c r="A299">
        <v>17</v>
      </c>
      <c r="B299" t="s">
        <v>151</v>
      </c>
      <c r="C299" t="s">
        <v>143</v>
      </c>
      <c r="D299">
        <v>16</v>
      </c>
      <c r="E299" t="s">
        <v>40</v>
      </c>
      <c r="F299" t="s">
        <v>144</v>
      </c>
      <c r="G299" t="s">
        <v>145</v>
      </c>
      <c r="H299" t="s">
        <v>101</v>
      </c>
      <c r="I299" t="s">
        <v>101</v>
      </c>
      <c r="J299" t="s">
        <v>153</v>
      </c>
      <c r="K299" t="s">
        <v>153</v>
      </c>
      <c r="L299" t="s">
        <v>161</v>
      </c>
      <c r="M299">
        <v>0</v>
      </c>
      <c r="N299" t="s">
        <v>149</v>
      </c>
      <c r="O299" t="s">
        <v>150</v>
      </c>
      <c r="P299" t="s">
        <v>150</v>
      </c>
      <c r="Q299" t="s">
        <v>150</v>
      </c>
      <c r="R299" t="s">
        <v>150</v>
      </c>
      <c r="S299" t="s">
        <v>149</v>
      </c>
      <c r="T299">
        <v>6</v>
      </c>
      <c r="U299">
        <v>13</v>
      </c>
      <c r="V299">
        <v>14</v>
      </c>
      <c r="W299">
        <v>14</v>
      </c>
    </row>
    <row r="300" spans="1:23">
      <c r="A300">
        <v>231</v>
      </c>
      <c r="B300" t="s">
        <v>151</v>
      </c>
      <c r="C300" t="s">
        <v>143</v>
      </c>
      <c r="D300">
        <v>17</v>
      </c>
      <c r="E300" t="s">
        <v>40</v>
      </c>
      <c r="F300" t="s">
        <v>152</v>
      </c>
      <c r="G300" t="s">
        <v>145</v>
      </c>
      <c r="H300" t="s">
        <v>101</v>
      </c>
      <c r="I300" t="s">
        <v>158</v>
      </c>
      <c r="J300" t="s">
        <v>159</v>
      </c>
      <c r="K300" t="s">
        <v>147</v>
      </c>
      <c r="L300" t="s">
        <v>148</v>
      </c>
      <c r="M300">
        <v>0</v>
      </c>
      <c r="N300" t="s">
        <v>149</v>
      </c>
      <c r="O300" t="s">
        <v>149</v>
      </c>
      <c r="P300" t="s">
        <v>150</v>
      </c>
      <c r="Q300" t="s">
        <v>150</v>
      </c>
      <c r="R300" t="s">
        <v>150</v>
      </c>
      <c r="S300" t="s">
        <v>150</v>
      </c>
      <c r="T300">
        <v>14</v>
      </c>
      <c r="U300">
        <v>13</v>
      </c>
      <c r="V300">
        <v>13</v>
      </c>
      <c r="W300">
        <v>14</v>
      </c>
    </row>
    <row r="301" spans="1:23">
      <c r="A301">
        <v>332</v>
      </c>
      <c r="B301" t="s">
        <v>151</v>
      </c>
      <c r="C301" t="s">
        <v>143</v>
      </c>
      <c r="D301">
        <v>17</v>
      </c>
      <c r="E301" t="s">
        <v>41</v>
      </c>
      <c r="F301" t="s">
        <v>144</v>
      </c>
      <c r="G301" t="s">
        <v>145</v>
      </c>
      <c r="H301" t="s">
        <v>100</v>
      </c>
      <c r="I301" t="s">
        <v>101</v>
      </c>
      <c r="J301" t="s">
        <v>156</v>
      </c>
      <c r="K301" t="s">
        <v>147</v>
      </c>
      <c r="L301" t="s">
        <v>161</v>
      </c>
      <c r="M301">
        <v>0</v>
      </c>
      <c r="N301" t="s">
        <v>149</v>
      </c>
      <c r="O301" t="s">
        <v>149</v>
      </c>
      <c r="P301" t="s">
        <v>149</v>
      </c>
      <c r="Q301" t="s">
        <v>150</v>
      </c>
      <c r="R301" t="s">
        <v>150</v>
      </c>
      <c r="S301" t="s">
        <v>150</v>
      </c>
      <c r="T301">
        <v>7</v>
      </c>
      <c r="U301">
        <v>12</v>
      </c>
      <c r="V301">
        <v>14</v>
      </c>
      <c r="W301">
        <v>14</v>
      </c>
    </row>
    <row r="302" spans="1:23">
      <c r="A302">
        <v>299</v>
      </c>
      <c r="B302" t="s">
        <v>151</v>
      </c>
      <c r="C302" t="s">
        <v>143</v>
      </c>
      <c r="D302">
        <v>18</v>
      </c>
      <c r="E302" t="s">
        <v>40</v>
      </c>
      <c r="F302" t="s">
        <v>144</v>
      </c>
      <c r="G302" t="s">
        <v>145</v>
      </c>
      <c r="H302" t="s">
        <v>101</v>
      </c>
      <c r="I302" t="s">
        <v>158</v>
      </c>
      <c r="J302" t="s">
        <v>147</v>
      </c>
      <c r="K302" t="s">
        <v>147</v>
      </c>
      <c r="L302" t="s">
        <v>154</v>
      </c>
      <c r="M302">
        <v>0</v>
      </c>
      <c r="N302" t="s">
        <v>149</v>
      </c>
      <c r="O302" t="s">
        <v>150</v>
      </c>
      <c r="P302" t="s">
        <v>149</v>
      </c>
      <c r="Q302" t="s">
        <v>150</v>
      </c>
      <c r="R302" t="s">
        <v>150</v>
      </c>
      <c r="S302" t="s">
        <v>149</v>
      </c>
      <c r="T302">
        <v>0</v>
      </c>
      <c r="U302">
        <v>14</v>
      </c>
      <c r="V302">
        <v>13</v>
      </c>
      <c r="W302">
        <v>14</v>
      </c>
    </row>
    <row r="303" spans="1:23">
      <c r="A303">
        <v>303</v>
      </c>
      <c r="B303" t="s">
        <v>151</v>
      </c>
      <c r="C303" t="s">
        <v>143</v>
      </c>
      <c r="D303">
        <v>17</v>
      </c>
      <c r="E303" t="s">
        <v>40</v>
      </c>
      <c r="F303" t="s">
        <v>144</v>
      </c>
      <c r="G303" t="s">
        <v>145</v>
      </c>
      <c r="H303" t="s">
        <v>101</v>
      </c>
      <c r="I303" t="s">
        <v>100</v>
      </c>
      <c r="J303" t="s">
        <v>147</v>
      </c>
      <c r="K303" t="s">
        <v>147</v>
      </c>
      <c r="L303" t="s">
        <v>161</v>
      </c>
      <c r="M303">
        <v>0</v>
      </c>
      <c r="N303" t="s">
        <v>149</v>
      </c>
      <c r="O303" t="s">
        <v>150</v>
      </c>
      <c r="P303" t="s">
        <v>149</v>
      </c>
      <c r="Q303" t="s">
        <v>150</v>
      </c>
      <c r="R303" t="s">
        <v>150</v>
      </c>
      <c r="S303" t="s">
        <v>149</v>
      </c>
      <c r="T303">
        <v>0</v>
      </c>
      <c r="U303">
        <v>15</v>
      </c>
      <c r="V303">
        <v>12</v>
      </c>
      <c r="W303">
        <v>14</v>
      </c>
    </row>
    <row r="304" spans="1:23">
      <c r="A304">
        <v>330</v>
      </c>
      <c r="B304" t="s">
        <v>151</v>
      </c>
      <c r="C304" t="s">
        <v>143</v>
      </c>
      <c r="D304">
        <v>17</v>
      </c>
      <c r="E304" t="s">
        <v>40</v>
      </c>
      <c r="F304" t="s">
        <v>144</v>
      </c>
      <c r="G304" t="s">
        <v>145</v>
      </c>
      <c r="H304" t="s">
        <v>101</v>
      </c>
      <c r="I304" t="s">
        <v>101</v>
      </c>
      <c r="J304" t="s">
        <v>160</v>
      </c>
      <c r="K304" t="s">
        <v>160</v>
      </c>
      <c r="L304" t="s">
        <v>161</v>
      </c>
      <c r="M304">
        <v>0</v>
      </c>
      <c r="N304" t="s">
        <v>149</v>
      </c>
      <c r="O304" t="s">
        <v>150</v>
      </c>
      <c r="P304" t="s">
        <v>149</v>
      </c>
      <c r="Q304" t="s">
        <v>149</v>
      </c>
      <c r="R304" t="s">
        <v>150</v>
      </c>
      <c r="S304" t="s">
        <v>150</v>
      </c>
      <c r="T304">
        <v>4</v>
      </c>
      <c r="U304">
        <v>14</v>
      </c>
      <c r="V304">
        <v>14</v>
      </c>
      <c r="W304">
        <v>14</v>
      </c>
    </row>
    <row r="305" spans="1:23">
      <c r="A305">
        <v>88</v>
      </c>
      <c r="B305" t="s">
        <v>151</v>
      </c>
      <c r="C305" t="s">
        <v>143</v>
      </c>
      <c r="D305">
        <v>15</v>
      </c>
      <c r="E305" t="s">
        <v>40</v>
      </c>
      <c r="F305" t="s">
        <v>144</v>
      </c>
      <c r="G305" t="s">
        <v>145</v>
      </c>
      <c r="H305" t="s">
        <v>101</v>
      </c>
      <c r="I305" t="s">
        <v>100</v>
      </c>
      <c r="J305" t="s">
        <v>147</v>
      </c>
      <c r="K305" t="s">
        <v>147</v>
      </c>
      <c r="L305" t="s">
        <v>161</v>
      </c>
      <c r="M305">
        <v>0</v>
      </c>
      <c r="N305" t="s">
        <v>149</v>
      </c>
      <c r="O305" t="s">
        <v>149</v>
      </c>
      <c r="P305" t="s">
        <v>150</v>
      </c>
      <c r="Q305" t="s">
        <v>150</v>
      </c>
      <c r="R305" t="s">
        <v>150</v>
      </c>
      <c r="S305" t="s">
        <v>149</v>
      </c>
      <c r="T305">
        <v>4</v>
      </c>
      <c r="U305">
        <v>13</v>
      </c>
      <c r="V305">
        <v>14</v>
      </c>
      <c r="W305">
        <v>14</v>
      </c>
    </row>
    <row r="306" spans="1:23">
      <c r="A306">
        <v>346</v>
      </c>
      <c r="B306" t="s">
        <v>151</v>
      </c>
      <c r="C306" t="s">
        <v>143</v>
      </c>
      <c r="D306">
        <v>18</v>
      </c>
      <c r="E306" t="s">
        <v>40</v>
      </c>
      <c r="F306" t="s">
        <v>144</v>
      </c>
      <c r="G306" t="s">
        <v>145</v>
      </c>
      <c r="H306" t="s">
        <v>158</v>
      </c>
      <c r="I306" t="s">
        <v>100</v>
      </c>
      <c r="J306" t="s">
        <v>147</v>
      </c>
      <c r="K306" t="s">
        <v>153</v>
      </c>
      <c r="L306" t="s">
        <v>161</v>
      </c>
      <c r="M306">
        <v>0</v>
      </c>
      <c r="N306" t="s">
        <v>149</v>
      </c>
      <c r="O306" t="s">
        <v>149</v>
      </c>
      <c r="P306" t="s">
        <v>149</v>
      </c>
      <c r="Q306" t="s">
        <v>150</v>
      </c>
      <c r="R306" t="s">
        <v>150</v>
      </c>
      <c r="S306" t="s">
        <v>150</v>
      </c>
      <c r="T306">
        <v>7</v>
      </c>
      <c r="U306">
        <v>13</v>
      </c>
      <c r="V306">
        <v>13</v>
      </c>
      <c r="W306">
        <v>14</v>
      </c>
    </row>
    <row r="307" spans="1:23">
      <c r="A307">
        <v>213</v>
      </c>
      <c r="B307" t="s">
        <v>151</v>
      </c>
      <c r="C307" t="s">
        <v>143</v>
      </c>
      <c r="D307">
        <v>16</v>
      </c>
      <c r="E307" t="s">
        <v>40</v>
      </c>
      <c r="F307" t="s">
        <v>144</v>
      </c>
      <c r="G307" t="s">
        <v>155</v>
      </c>
      <c r="H307" t="s">
        <v>100</v>
      </c>
      <c r="I307" t="s">
        <v>100</v>
      </c>
      <c r="J307" t="s">
        <v>147</v>
      </c>
      <c r="K307" t="s">
        <v>147</v>
      </c>
      <c r="L307" t="s">
        <v>148</v>
      </c>
      <c r="M307">
        <v>0</v>
      </c>
      <c r="N307" t="s">
        <v>150</v>
      </c>
      <c r="O307" t="s">
        <v>150</v>
      </c>
      <c r="P307" t="s">
        <v>149</v>
      </c>
      <c r="Q307" t="s">
        <v>150</v>
      </c>
      <c r="R307" t="s">
        <v>150</v>
      </c>
      <c r="S307" t="s">
        <v>149</v>
      </c>
      <c r="T307">
        <v>0</v>
      </c>
      <c r="U307">
        <v>12</v>
      </c>
      <c r="V307">
        <v>13</v>
      </c>
      <c r="W307">
        <v>14</v>
      </c>
    </row>
    <row r="308" spans="1:23">
      <c r="A308">
        <v>16</v>
      </c>
      <c r="B308" t="s">
        <v>151</v>
      </c>
      <c r="C308" t="s">
        <v>143</v>
      </c>
      <c r="D308">
        <v>16</v>
      </c>
      <c r="E308" t="s">
        <v>40</v>
      </c>
      <c r="F308" t="s">
        <v>144</v>
      </c>
      <c r="G308" t="s">
        <v>145</v>
      </c>
      <c r="H308" t="s">
        <v>101</v>
      </c>
      <c r="I308" t="s">
        <v>101</v>
      </c>
      <c r="J308" t="s">
        <v>159</v>
      </c>
      <c r="K308" t="s">
        <v>147</v>
      </c>
      <c r="L308" t="s">
        <v>157</v>
      </c>
      <c r="M308">
        <v>0</v>
      </c>
      <c r="N308" t="s">
        <v>149</v>
      </c>
      <c r="O308" t="s">
        <v>149</v>
      </c>
      <c r="P308" t="s">
        <v>149</v>
      </c>
      <c r="Q308" t="s">
        <v>150</v>
      </c>
      <c r="R308" t="s">
        <v>150</v>
      </c>
      <c r="S308" t="s">
        <v>149</v>
      </c>
      <c r="T308">
        <v>4</v>
      </c>
      <c r="U308">
        <v>14</v>
      </c>
      <c r="V308">
        <v>14</v>
      </c>
      <c r="W308">
        <v>14</v>
      </c>
    </row>
    <row r="309" spans="1:23">
      <c r="A309">
        <v>99</v>
      </c>
      <c r="B309" t="s">
        <v>151</v>
      </c>
      <c r="C309" t="s">
        <v>143</v>
      </c>
      <c r="D309">
        <v>16</v>
      </c>
      <c r="E309" t="s">
        <v>40</v>
      </c>
      <c r="F309" t="s">
        <v>144</v>
      </c>
      <c r="G309" t="s">
        <v>145</v>
      </c>
      <c r="H309" t="s">
        <v>101</v>
      </c>
      <c r="I309" t="s">
        <v>101</v>
      </c>
      <c r="J309" t="s">
        <v>147</v>
      </c>
      <c r="K309" t="s">
        <v>147</v>
      </c>
      <c r="L309" t="s">
        <v>157</v>
      </c>
      <c r="M309">
        <v>0</v>
      </c>
      <c r="N309" t="s">
        <v>149</v>
      </c>
      <c r="O309" t="s">
        <v>149</v>
      </c>
      <c r="P309" t="s">
        <v>150</v>
      </c>
      <c r="Q309" t="s">
        <v>149</v>
      </c>
      <c r="R309" t="s">
        <v>150</v>
      </c>
      <c r="S309" t="s">
        <v>149</v>
      </c>
      <c r="T309">
        <v>6</v>
      </c>
      <c r="U309">
        <v>11</v>
      </c>
      <c r="V309">
        <v>14</v>
      </c>
      <c r="W309">
        <v>14</v>
      </c>
    </row>
    <row r="310" spans="1:23">
      <c r="A310">
        <v>272</v>
      </c>
      <c r="B310" t="s">
        <v>151</v>
      </c>
      <c r="C310" t="s">
        <v>143</v>
      </c>
      <c r="D310">
        <v>18</v>
      </c>
      <c r="E310" t="s">
        <v>40</v>
      </c>
      <c r="F310" t="s">
        <v>144</v>
      </c>
      <c r="G310" t="s">
        <v>145</v>
      </c>
      <c r="H310" t="s">
        <v>100</v>
      </c>
      <c r="I310" t="s">
        <v>158</v>
      </c>
      <c r="J310" t="s">
        <v>147</v>
      </c>
      <c r="K310" t="s">
        <v>153</v>
      </c>
      <c r="L310" t="s">
        <v>154</v>
      </c>
      <c r="M310">
        <v>0</v>
      </c>
      <c r="N310" t="s">
        <v>149</v>
      </c>
      <c r="O310" t="s">
        <v>150</v>
      </c>
      <c r="P310" t="s">
        <v>150</v>
      </c>
      <c r="Q310" t="s">
        <v>150</v>
      </c>
      <c r="R310" t="s">
        <v>150</v>
      </c>
      <c r="S310" t="s">
        <v>150</v>
      </c>
      <c r="T310">
        <v>4</v>
      </c>
      <c r="U310">
        <v>15</v>
      </c>
      <c r="V310">
        <v>14</v>
      </c>
      <c r="W310">
        <v>14</v>
      </c>
    </row>
    <row r="311" spans="1:23">
      <c r="A311">
        <v>274</v>
      </c>
      <c r="B311" t="s">
        <v>151</v>
      </c>
      <c r="C311" t="s">
        <v>162</v>
      </c>
      <c r="D311">
        <v>17</v>
      </c>
      <c r="E311" t="s">
        <v>41</v>
      </c>
      <c r="F311" t="s">
        <v>144</v>
      </c>
      <c r="G311" t="s">
        <v>145</v>
      </c>
      <c r="H311" t="s">
        <v>146</v>
      </c>
      <c r="I311" t="s">
        <v>100</v>
      </c>
      <c r="J311" t="s">
        <v>156</v>
      </c>
      <c r="K311" t="s">
        <v>156</v>
      </c>
      <c r="L311" t="s">
        <v>148</v>
      </c>
      <c r="M311">
        <v>0</v>
      </c>
      <c r="N311" t="s">
        <v>149</v>
      </c>
      <c r="O311" t="s">
        <v>150</v>
      </c>
      <c r="P311" t="s">
        <v>150</v>
      </c>
      <c r="Q311" t="s">
        <v>149</v>
      </c>
      <c r="R311" t="s">
        <v>149</v>
      </c>
      <c r="S311" t="s">
        <v>150</v>
      </c>
      <c r="T311">
        <v>2</v>
      </c>
      <c r="U311">
        <v>15</v>
      </c>
      <c r="V311">
        <v>14</v>
      </c>
      <c r="W311">
        <v>14</v>
      </c>
    </row>
    <row r="312" spans="1:23">
      <c r="A312">
        <v>74</v>
      </c>
      <c r="B312" t="s">
        <v>151</v>
      </c>
      <c r="C312" t="s">
        <v>162</v>
      </c>
      <c r="D312">
        <v>16</v>
      </c>
      <c r="E312" t="s">
        <v>40</v>
      </c>
      <c r="F312" t="s">
        <v>144</v>
      </c>
      <c r="G312" t="s">
        <v>145</v>
      </c>
      <c r="H312" t="s">
        <v>158</v>
      </c>
      <c r="I312" t="s">
        <v>146</v>
      </c>
      <c r="J312" t="s">
        <v>147</v>
      </c>
      <c r="K312" t="s">
        <v>147</v>
      </c>
      <c r="L312" t="s">
        <v>157</v>
      </c>
      <c r="M312">
        <v>0</v>
      </c>
      <c r="N312" t="s">
        <v>149</v>
      </c>
      <c r="O312" t="s">
        <v>149</v>
      </c>
      <c r="P312" t="s">
        <v>150</v>
      </c>
      <c r="Q312" t="s">
        <v>150</v>
      </c>
      <c r="R312" t="s">
        <v>149</v>
      </c>
      <c r="S312" t="s">
        <v>149</v>
      </c>
      <c r="T312">
        <v>2</v>
      </c>
      <c r="U312">
        <v>12</v>
      </c>
      <c r="V312">
        <v>12</v>
      </c>
      <c r="W312">
        <v>14</v>
      </c>
    </row>
    <row r="313" spans="1:23">
      <c r="A313">
        <v>295</v>
      </c>
      <c r="B313" t="s">
        <v>151</v>
      </c>
      <c r="C313" t="s">
        <v>162</v>
      </c>
      <c r="D313">
        <v>18</v>
      </c>
      <c r="E313" t="s">
        <v>41</v>
      </c>
      <c r="F313" t="s">
        <v>152</v>
      </c>
      <c r="G313" t="s">
        <v>145</v>
      </c>
      <c r="H313" t="s">
        <v>158</v>
      </c>
      <c r="I313" t="s">
        <v>100</v>
      </c>
      <c r="J313" t="s">
        <v>153</v>
      </c>
      <c r="K313" t="s">
        <v>147</v>
      </c>
      <c r="L313" t="s">
        <v>161</v>
      </c>
      <c r="M313">
        <v>0</v>
      </c>
      <c r="N313" t="s">
        <v>149</v>
      </c>
      <c r="O313" t="s">
        <v>150</v>
      </c>
      <c r="P313" t="s">
        <v>150</v>
      </c>
      <c r="Q313" t="s">
        <v>150</v>
      </c>
      <c r="R313" t="s">
        <v>150</v>
      </c>
      <c r="S313" t="s">
        <v>149</v>
      </c>
      <c r="T313">
        <v>8</v>
      </c>
      <c r="U313">
        <v>14</v>
      </c>
      <c r="V313">
        <v>13</v>
      </c>
      <c r="W313">
        <v>14</v>
      </c>
    </row>
    <row r="314" spans="1:23">
      <c r="A314">
        <v>13</v>
      </c>
      <c r="B314" t="s">
        <v>151</v>
      </c>
      <c r="C314" t="s">
        <v>162</v>
      </c>
      <c r="D314">
        <v>15</v>
      </c>
      <c r="E314" t="s">
        <v>40</v>
      </c>
      <c r="F314" t="s">
        <v>152</v>
      </c>
      <c r="G314" t="s">
        <v>145</v>
      </c>
      <c r="H314" t="s">
        <v>101</v>
      </c>
      <c r="I314" t="s">
        <v>101</v>
      </c>
      <c r="J314" t="s">
        <v>159</v>
      </c>
      <c r="K314" t="s">
        <v>153</v>
      </c>
      <c r="L314" t="s">
        <v>157</v>
      </c>
      <c r="M314">
        <v>0</v>
      </c>
      <c r="N314" t="s">
        <v>149</v>
      </c>
      <c r="O314" t="s">
        <v>150</v>
      </c>
      <c r="P314" t="s">
        <v>150</v>
      </c>
      <c r="Q314" t="s">
        <v>150</v>
      </c>
      <c r="R314" t="s">
        <v>150</v>
      </c>
      <c r="S314" t="s">
        <v>149</v>
      </c>
      <c r="T314">
        <v>2</v>
      </c>
      <c r="U314">
        <v>14</v>
      </c>
      <c r="V314">
        <v>14</v>
      </c>
      <c r="W314">
        <v>14</v>
      </c>
    </row>
    <row r="315" spans="1:23">
      <c r="A315">
        <v>49</v>
      </c>
      <c r="B315" t="s">
        <v>151</v>
      </c>
      <c r="C315" t="s">
        <v>162</v>
      </c>
      <c r="D315">
        <v>15</v>
      </c>
      <c r="E315" t="s">
        <v>40</v>
      </c>
      <c r="F315" t="s">
        <v>144</v>
      </c>
      <c r="G315" t="s">
        <v>145</v>
      </c>
      <c r="H315" t="s">
        <v>101</v>
      </c>
      <c r="I315" t="s">
        <v>100</v>
      </c>
      <c r="J315" t="s">
        <v>160</v>
      </c>
      <c r="K315" t="s">
        <v>147</v>
      </c>
      <c r="L315" t="s">
        <v>148</v>
      </c>
      <c r="M315">
        <v>0</v>
      </c>
      <c r="N315" t="s">
        <v>149</v>
      </c>
      <c r="O315" t="s">
        <v>150</v>
      </c>
      <c r="P315" t="s">
        <v>149</v>
      </c>
      <c r="Q315" t="s">
        <v>150</v>
      </c>
      <c r="R315" t="s">
        <v>149</v>
      </c>
      <c r="S315" t="s">
        <v>149</v>
      </c>
      <c r="T315">
        <v>2</v>
      </c>
      <c r="U315">
        <v>15</v>
      </c>
      <c r="V315">
        <v>15</v>
      </c>
      <c r="W315">
        <v>14</v>
      </c>
    </row>
    <row r="316" spans="1:23">
      <c r="A316">
        <v>117</v>
      </c>
      <c r="B316" t="s">
        <v>151</v>
      </c>
      <c r="C316" t="s">
        <v>162</v>
      </c>
      <c r="D316">
        <v>15</v>
      </c>
      <c r="E316" t="s">
        <v>40</v>
      </c>
      <c r="F316" t="s">
        <v>144</v>
      </c>
      <c r="G316" t="s">
        <v>145</v>
      </c>
      <c r="H316" t="s">
        <v>101</v>
      </c>
      <c r="I316" t="s">
        <v>101</v>
      </c>
      <c r="J316" t="s">
        <v>147</v>
      </c>
      <c r="K316" t="s">
        <v>160</v>
      </c>
      <c r="L316" t="s">
        <v>148</v>
      </c>
      <c r="M316">
        <v>0</v>
      </c>
      <c r="N316" t="s">
        <v>149</v>
      </c>
      <c r="O316" t="s">
        <v>149</v>
      </c>
      <c r="P316" t="s">
        <v>150</v>
      </c>
      <c r="Q316" t="s">
        <v>150</v>
      </c>
      <c r="R316" t="s">
        <v>149</v>
      </c>
      <c r="S316" t="s">
        <v>149</v>
      </c>
      <c r="T316">
        <v>2</v>
      </c>
      <c r="U316">
        <v>11</v>
      </c>
      <c r="V316">
        <v>13</v>
      </c>
      <c r="W316">
        <v>14</v>
      </c>
    </row>
    <row r="317" spans="1:23">
      <c r="A317">
        <v>195</v>
      </c>
      <c r="B317" t="s">
        <v>151</v>
      </c>
      <c r="C317" t="s">
        <v>162</v>
      </c>
      <c r="D317">
        <v>16</v>
      </c>
      <c r="E317" t="s">
        <v>40</v>
      </c>
      <c r="F317" t="s">
        <v>144</v>
      </c>
      <c r="G317" t="s">
        <v>145</v>
      </c>
      <c r="H317" t="s">
        <v>100</v>
      </c>
      <c r="I317" t="s">
        <v>158</v>
      </c>
      <c r="J317" t="s">
        <v>147</v>
      </c>
      <c r="K317" t="s">
        <v>147</v>
      </c>
      <c r="L317" t="s">
        <v>157</v>
      </c>
      <c r="M317">
        <v>0</v>
      </c>
      <c r="N317" t="s">
        <v>149</v>
      </c>
      <c r="O317" t="s">
        <v>149</v>
      </c>
      <c r="P317" t="s">
        <v>149</v>
      </c>
      <c r="Q317" t="s">
        <v>150</v>
      </c>
      <c r="R317" t="s">
        <v>150</v>
      </c>
      <c r="S317" t="s">
        <v>149</v>
      </c>
      <c r="T317">
        <v>0</v>
      </c>
      <c r="U317">
        <v>13</v>
      </c>
      <c r="V317">
        <v>14</v>
      </c>
      <c r="W317">
        <v>14</v>
      </c>
    </row>
    <row r="318" spans="1:23">
      <c r="A318">
        <v>103</v>
      </c>
      <c r="B318" t="s">
        <v>151</v>
      </c>
      <c r="C318" t="s">
        <v>162</v>
      </c>
      <c r="D318">
        <v>15</v>
      </c>
      <c r="E318" t="s">
        <v>40</v>
      </c>
      <c r="F318" t="s">
        <v>144</v>
      </c>
      <c r="G318" t="s">
        <v>145</v>
      </c>
      <c r="H318" t="s">
        <v>101</v>
      </c>
      <c r="I318" t="s">
        <v>101</v>
      </c>
      <c r="J318" t="s">
        <v>153</v>
      </c>
      <c r="K318" t="s">
        <v>147</v>
      </c>
      <c r="L318" t="s">
        <v>157</v>
      </c>
      <c r="M318">
        <v>0</v>
      </c>
      <c r="N318" t="s">
        <v>149</v>
      </c>
      <c r="O318" t="s">
        <v>149</v>
      </c>
      <c r="P318" t="s">
        <v>150</v>
      </c>
      <c r="Q318" t="s">
        <v>149</v>
      </c>
      <c r="R318" t="s">
        <v>150</v>
      </c>
      <c r="S318" t="s">
        <v>149</v>
      </c>
      <c r="T318">
        <v>4</v>
      </c>
      <c r="U318">
        <v>10</v>
      </c>
      <c r="V318">
        <v>13</v>
      </c>
      <c r="W318">
        <v>14</v>
      </c>
    </row>
    <row r="319" spans="1:23">
      <c r="A319">
        <v>381</v>
      </c>
      <c r="B319" t="s">
        <v>142</v>
      </c>
      <c r="C319" t="s">
        <v>162</v>
      </c>
      <c r="D319">
        <v>18</v>
      </c>
      <c r="E319" t="s">
        <v>40</v>
      </c>
      <c r="F319" t="s">
        <v>144</v>
      </c>
      <c r="G319" t="s">
        <v>145</v>
      </c>
      <c r="H319" t="s">
        <v>101</v>
      </c>
      <c r="I319" t="s">
        <v>101</v>
      </c>
      <c r="J319" t="s">
        <v>160</v>
      </c>
      <c r="K319" t="s">
        <v>160</v>
      </c>
      <c r="L319" t="s">
        <v>148</v>
      </c>
      <c r="M319">
        <v>0</v>
      </c>
      <c r="N319" t="s">
        <v>149</v>
      </c>
      <c r="O319" t="s">
        <v>150</v>
      </c>
      <c r="P319" t="s">
        <v>150</v>
      </c>
      <c r="Q319" t="s">
        <v>149</v>
      </c>
      <c r="R319" t="s">
        <v>150</v>
      </c>
      <c r="S319" t="s">
        <v>149</v>
      </c>
      <c r="T319">
        <v>4</v>
      </c>
      <c r="U319">
        <v>15</v>
      </c>
      <c r="V319">
        <v>14</v>
      </c>
      <c r="W319">
        <v>14</v>
      </c>
    </row>
    <row r="320" spans="1:23">
      <c r="A320">
        <v>95</v>
      </c>
      <c r="B320" t="s">
        <v>151</v>
      </c>
      <c r="C320" t="s">
        <v>162</v>
      </c>
      <c r="D320">
        <v>15</v>
      </c>
      <c r="E320" t="s">
        <v>40</v>
      </c>
      <c r="F320" t="s">
        <v>152</v>
      </c>
      <c r="G320" t="s">
        <v>145</v>
      </c>
      <c r="H320" t="s">
        <v>100</v>
      </c>
      <c r="I320" t="s">
        <v>100</v>
      </c>
      <c r="J320" t="s">
        <v>153</v>
      </c>
      <c r="K320" t="s">
        <v>159</v>
      </c>
      <c r="L320" t="s">
        <v>154</v>
      </c>
      <c r="M320">
        <v>0</v>
      </c>
      <c r="N320" t="s">
        <v>149</v>
      </c>
      <c r="O320" t="s">
        <v>149</v>
      </c>
      <c r="P320" t="s">
        <v>150</v>
      </c>
      <c r="Q320" t="s">
        <v>150</v>
      </c>
      <c r="R320" t="s">
        <v>150</v>
      </c>
      <c r="S320" t="s">
        <v>149</v>
      </c>
      <c r="T320">
        <v>6</v>
      </c>
      <c r="U320">
        <v>11</v>
      </c>
      <c r="V320">
        <v>13</v>
      </c>
      <c r="W320">
        <v>14</v>
      </c>
    </row>
    <row r="321" spans="1:23">
      <c r="A321">
        <v>152</v>
      </c>
      <c r="B321" t="s">
        <v>151</v>
      </c>
      <c r="C321" t="s">
        <v>162</v>
      </c>
      <c r="D321">
        <v>16</v>
      </c>
      <c r="E321" t="s">
        <v>40</v>
      </c>
      <c r="F321" t="s">
        <v>152</v>
      </c>
      <c r="G321" t="s">
        <v>145</v>
      </c>
      <c r="H321" t="s">
        <v>100</v>
      </c>
      <c r="I321" t="s">
        <v>146</v>
      </c>
      <c r="J321" t="s">
        <v>156</v>
      </c>
      <c r="K321" t="s">
        <v>147</v>
      </c>
      <c r="L321" t="s">
        <v>157</v>
      </c>
      <c r="M321">
        <v>1</v>
      </c>
      <c r="N321" t="s">
        <v>149</v>
      </c>
      <c r="O321" t="s">
        <v>149</v>
      </c>
      <c r="P321" t="s">
        <v>150</v>
      </c>
      <c r="Q321" t="s">
        <v>150</v>
      </c>
      <c r="R321" t="s">
        <v>149</v>
      </c>
      <c r="S321" t="s">
        <v>150</v>
      </c>
      <c r="T321">
        <v>6</v>
      </c>
      <c r="U321">
        <v>12</v>
      </c>
      <c r="V321">
        <v>13</v>
      </c>
      <c r="W321">
        <v>14</v>
      </c>
    </row>
    <row r="322" spans="1:23">
      <c r="A322">
        <v>289</v>
      </c>
      <c r="B322" t="s">
        <v>151</v>
      </c>
      <c r="C322" t="s">
        <v>162</v>
      </c>
      <c r="D322">
        <v>18</v>
      </c>
      <c r="E322" t="s">
        <v>40</v>
      </c>
      <c r="F322" t="s">
        <v>144</v>
      </c>
      <c r="G322" t="s">
        <v>145</v>
      </c>
      <c r="H322" t="s">
        <v>100</v>
      </c>
      <c r="I322" t="s">
        <v>146</v>
      </c>
      <c r="J322" t="s">
        <v>153</v>
      </c>
      <c r="K322" t="s">
        <v>153</v>
      </c>
      <c r="L322" t="s">
        <v>161</v>
      </c>
      <c r="M322">
        <v>0</v>
      </c>
      <c r="N322" t="s">
        <v>149</v>
      </c>
      <c r="O322" t="s">
        <v>150</v>
      </c>
      <c r="P322" t="s">
        <v>150</v>
      </c>
      <c r="Q322" t="s">
        <v>150</v>
      </c>
      <c r="R322" t="s">
        <v>150</v>
      </c>
      <c r="S322" t="s">
        <v>149</v>
      </c>
      <c r="T322">
        <v>6</v>
      </c>
      <c r="U322">
        <v>15</v>
      </c>
      <c r="V322">
        <v>14</v>
      </c>
      <c r="W322">
        <v>14</v>
      </c>
    </row>
    <row r="323" spans="1:23">
      <c r="A323">
        <v>259</v>
      </c>
      <c r="B323" t="s">
        <v>151</v>
      </c>
      <c r="C323" t="s">
        <v>162</v>
      </c>
      <c r="D323">
        <v>18</v>
      </c>
      <c r="E323" t="s">
        <v>40</v>
      </c>
      <c r="F323" t="s">
        <v>144</v>
      </c>
      <c r="G323" t="s">
        <v>145</v>
      </c>
      <c r="H323" t="s">
        <v>100</v>
      </c>
      <c r="I323" t="s">
        <v>146</v>
      </c>
      <c r="J323" t="s">
        <v>147</v>
      </c>
      <c r="K323" t="s">
        <v>147</v>
      </c>
      <c r="L323" t="s">
        <v>148</v>
      </c>
      <c r="M323">
        <v>0</v>
      </c>
      <c r="N323" t="s">
        <v>149</v>
      </c>
      <c r="O323" t="s">
        <v>149</v>
      </c>
      <c r="P323" t="s">
        <v>150</v>
      </c>
      <c r="Q323" t="s">
        <v>150</v>
      </c>
      <c r="R323" t="s">
        <v>150</v>
      </c>
      <c r="S323" t="s">
        <v>149</v>
      </c>
      <c r="T323">
        <v>8</v>
      </c>
      <c r="U323">
        <v>15</v>
      </c>
      <c r="V323">
        <v>14</v>
      </c>
      <c r="W323">
        <v>14</v>
      </c>
    </row>
    <row r="324" spans="1:23">
      <c r="A324">
        <v>4</v>
      </c>
      <c r="B324" t="s">
        <v>151</v>
      </c>
      <c r="C324" t="s">
        <v>143</v>
      </c>
      <c r="D324">
        <v>15</v>
      </c>
      <c r="E324" t="s">
        <v>40</v>
      </c>
      <c r="F324" t="s">
        <v>144</v>
      </c>
      <c r="G324" t="s">
        <v>145</v>
      </c>
      <c r="H324" t="s">
        <v>101</v>
      </c>
      <c r="I324" t="s">
        <v>100</v>
      </c>
      <c r="J324" t="s">
        <v>159</v>
      </c>
      <c r="K324" t="s">
        <v>153</v>
      </c>
      <c r="L324" t="s">
        <v>161</v>
      </c>
      <c r="M324">
        <v>0</v>
      </c>
      <c r="N324" t="s">
        <v>149</v>
      </c>
      <c r="O324" t="s">
        <v>150</v>
      </c>
      <c r="P324" t="s">
        <v>150</v>
      </c>
      <c r="Q324" t="s">
        <v>150</v>
      </c>
      <c r="R324" t="s">
        <v>150</v>
      </c>
      <c r="S324" t="s">
        <v>150</v>
      </c>
      <c r="T324">
        <v>2</v>
      </c>
      <c r="U324">
        <v>15</v>
      </c>
      <c r="V324">
        <v>14</v>
      </c>
      <c r="W324">
        <v>15</v>
      </c>
    </row>
    <row r="325" spans="1:23">
      <c r="A325">
        <v>196</v>
      </c>
      <c r="B325" t="s">
        <v>151</v>
      </c>
      <c r="C325" t="s">
        <v>143</v>
      </c>
      <c r="D325">
        <v>17</v>
      </c>
      <c r="E325" t="s">
        <v>40</v>
      </c>
      <c r="F325" t="s">
        <v>152</v>
      </c>
      <c r="G325" t="s">
        <v>145</v>
      </c>
      <c r="H325" t="s">
        <v>100</v>
      </c>
      <c r="I325" t="s">
        <v>101</v>
      </c>
      <c r="J325" t="s">
        <v>153</v>
      </c>
      <c r="K325" t="s">
        <v>153</v>
      </c>
      <c r="L325" t="s">
        <v>148</v>
      </c>
      <c r="M325">
        <v>0</v>
      </c>
      <c r="N325" t="s">
        <v>149</v>
      </c>
      <c r="O325" t="s">
        <v>149</v>
      </c>
      <c r="P325" t="s">
        <v>150</v>
      </c>
      <c r="Q325" t="s">
        <v>150</v>
      </c>
      <c r="R325" t="s">
        <v>150</v>
      </c>
      <c r="S325" t="s">
        <v>150</v>
      </c>
      <c r="T325">
        <v>0</v>
      </c>
      <c r="U325">
        <v>14</v>
      </c>
      <c r="V325">
        <v>15</v>
      </c>
      <c r="W325">
        <v>15</v>
      </c>
    </row>
    <row r="326" spans="1:23">
      <c r="A326">
        <v>57</v>
      </c>
      <c r="B326" t="s">
        <v>151</v>
      </c>
      <c r="C326" t="s">
        <v>143</v>
      </c>
      <c r="D326">
        <v>15</v>
      </c>
      <c r="E326" t="s">
        <v>40</v>
      </c>
      <c r="F326" t="s">
        <v>144</v>
      </c>
      <c r="G326" t="s">
        <v>155</v>
      </c>
      <c r="H326" t="s">
        <v>101</v>
      </c>
      <c r="I326" t="s">
        <v>158</v>
      </c>
      <c r="J326" t="s">
        <v>153</v>
      </c>
      <c r="K326" t="s">
        <v>153</v>
      </c>
      <c r="L326" t="s">
        <v>148</v>
      </c>
      <c r="M326">
        <v>0</v>
      </c>
      <c r="N326" t="s">
        <v>149</v>
      </c>
      <c r="O326" t="s">
        <v>150</v>
      </c>
      <c r="P326" t="s">
        <v>150</v>
      </c>
      <c r="Q326" t="s">
        <v>150</v>
      </c>
      <c r="R326" t="s">
        <v>150</v>
      </c>
      <c r="S326" t="s">
        <v>149</v>
      </c>
      <c r="T326">
        <v>0</v>
      </c>
      <c r="U326">
        <v>14</v>
      </c>
      <c r="V326">
        <v>15</v>
      </c>
      <c r="W326">
        <v>15</v>
      </c>
    </row>
    <row r="327" spans="1:23">
      <c r="A327">
        <v>140</v>
      </c>
      <c r="B327" t="s">
        <v>151</v>
      </c>
      <c r="C327" t="s">
        <v>143</v>
      </c>
      <c r="D327">
        <v>15</v>
      </c>
      <c r="E327" t="s">
        <v>40</v>
      </c>
      <c r="F327" t="s">
        <v>144</v>
      </c>
      <c r="G327" t="s">
        <v>145</v>
      </c>
      <c r="H327" t="s">
        <v>101</v>
      </c>
      <c r="I327" t="s">
        <v>101</v>
      </c>
      <c r="J327" t="s">
        <v>160</v>
      </c>
      <c r="K327" t="s">
        <v>160</v>
      </c>
      <c r="L327" t="s">
        <v>157</v>
      </c>
      <c r="M327">
        <v>0</v>
      </c>
      <c r="N327" t="s">
        <v>149</v>
      </c>
      <c r="O327" t="s">
        <v>149</v>
      </c>
      <c r="P327" t="s">
        <v>150</v>
      </c>
      <c r="Q327" t="s">
        <v>150</v>
      </c>
      <c r="R327" t="s">
        <v>150</v>
      </c>
      <c r="S327" t="s">
        <v>149</v>
      </c>
      <c r="T327">
        <v>0</v>
      </c>
      <c r="U327">
        <v>16</v>
      </c>
      <c r="V327">
        <v>16</v>
      </c>
      <c r="W327">
        <v>15</v>
      </c>
    </row>
    <row r="328" spans="1:23">
      <c r="A328">
        <v>292</v>
      </c>
      <c r="B328" t="s">
        <v>151</v>
      </c>
      <c r="C328" t="s">
        <v>143</v>
      </c>
      <c r="D328">
        <v>17</v>
      </c>
      <c r="E328" t="s">
        <v>40</v>
      </c>
      <c r="F328" t="s">
        <v>144</v>
      </c>
      <c r="G328" t="s">
        <v>145</v>
      </c>
      <c r="H328" t="s">
        <v>101</v>
      </c>
      <c r="I328" t="s">
        <v>158</v>
      </c>
      <c r="J328" t="s">
        <v>159</v>
      </c>
      <c r="K328" t="s">
        <v>153</v>
      </c>
      <c r="L328" t="s">
        <v>161</v>
      </c>
      <c r="M328">
        <v>0</v>
      </c>
      <c r="N328" t="s">
        <v>149</v>
      </c>
      <c r="O328" t="s">
        <v>150</v>
      </c>
      <c r="P328" t="s">
        <v>149</v>
      </c>
      <c r="Q328" t="s">
        <v>150</v>
      </c>
      <c r="R328" t="s">
        <v>150</v>
      </c>
      <c r="S328" t="s">
        <v>149</v>
      </c>
      <c r="T328">
        <v>0</v>
      </c>
      <c r="U328">
        <v>15</v>
      </c>
      <c r="V328">
        <v>15</v>
      </c>
      <c r="W328">
        <v>15</v>
      </c>
    </row>
    <row r="329" spans="1:23">
      <c r="A329">
        <v>325</v>
      </c>
      <c r="B329" t="s">
        <v>151</v>
      </c>
      <c r="C329" t="s">
        <v>143</v>
      </c>
      <c r="D329">
        <v>17</v>
      </c>
      <c r="E329" t="s">
        <v>40</v>
      </c>
      <c r="F329" t="s">
        <v>152</v>
      </c>
      <c r="G329" t="s">
        <v>145</v>
      </c>
      <c r="H329" t="s">
        <v>163</v>
      </c>
      <c r="I329" t="s">
        <v>100</v>
      </c>
      <c r="J329" t="s">
        <v>156</v>
      </c>
      <c r="K329" t="s">
        <v>156</v>
      </c>
      <c r="L329" t="s">
        <v>161</v>
      </c>
      <c r="M329">
        <v>0</v>
      </c>
      <c r="N329" t="s">
        <v>149</v>
      </c>
      <c r="O329" t="s">
        <v>149</v>
      </c>
      <c r="P329" t="s">
        <v>149</v>
      </c>
      <c r="Q329" t="s">
        <v>150</v>
      </c>
      <c r="R329" t="s">
        <v>150</v>
      </c>
      <c r="S329" t="s">
        <v>149</v>
      </c>
      <c r="T329">
        <v>0</v>
      </c>
      <c r="U329">
        <v>16</v>
      </c>
      <c r="V329">
        <v>15</v>
      </c>
      <c r="W329">
        <v>15</v>
      </c>
    </row>
    <row r="330" spans="1:23">
      <c r="A330">
        <v>121</v>
      </c>
      <c r="B330" t="s">
        <v>151</v>
      </c>
      <c r="C330" t="s">
        <v>143</v>
      </c>
      <c r="D330">
        <v>15</v>
      </c>
      <c r="E330" t="s">
        <v>40</v>
      </c>
      <c r="F330" t="s">
        <v>144</v>
      </c>
      <c r="G330" t="s">
        <v>145</v>
      </c>
      <c r="H330" t="s">
        <v>146</v>
      </c>
      <c r="I330" t="s">
        <v>100</v>
      </c>
      <c r="J330" t="s">
        <v>156</v>
      </c>
      <c r="K330" t="s">
        <v>153</v>
      </c>
      <c r="L330" t="s">
        <v>148</v>
      </c>
      <c r="M330">
        <v>0</v>
      </c>
      <c r="N330" t="s">
        <v>149</v>
      </c>
      <c r="O330" t="s">
        <v>149</v>
      </c>
      <c r="P330" t="s">
        <v>149</v>
      </c>
      <c r="Q330" t="s">
        <v>149</v>
      </c>
      <c r="R330" t="s">
        <v>150</v>
      </c>
      <c r="S330" t="s">
        <v>149</v>
      </c>
      <c r="T330">
        <v>2</v>
      </c>
      <c r="U330">
        <v>16</v>
      </c>
      <c r="V330">
        <v>15</v>
      </c>
      <c r="W330">
        <v>15</v>
      </c>
    </row>
    <row r="331" spans="1:23">
      <c r="A331">
        <v>324</v>
      </c>
      <c r="B331" t="s">
        <v>151</v>
      </c>
      <c r="C331" t="s">
        <v>143</v>
      </c>
      <c r="D331">
        <v>17</v>
      </c>
      <c r="E331" t="s">
        <v>40</v>
      </c>
      <c r="F331" t="s">
        <v>144</v>
      </c>
      <c r="G331" t="s">
        <v>145</v>
      </c>
      <c r="H331" t="s">
        <v>158</v>
      </c>
      <c r="I331" t="s">
        <v>146</v>
      </c>
      <c r="J331" t="s">
        <v>153</v>
      </c>
      <c r="K331" t="s">
        <v>153</v>
      </c>
      <c r="L331" t="s">
        <v>161</v>
      </c>
      <c r="M331">
        <v>0</v>
      </c>
      <c r="N331" t="s">
        <v>149</v>
      </c>
      <c r="O331" t="s">
        <v>149</v>
      </c>
      <c r="P331" t="s">
        <v>149</v>
      </c>
      <c r="Q331" t="s">
        <v>149</v>
      </c>
      <c r="R331" t="s">
        <v>150</v>
      </c>
      <c r="S331" t="s">
        <v>149</v>
      </c>
      <c r="T331">
        <v>1</v>
      </c>
      <c r="U331">
        <v>12</v>
      </c>
      <c r="V331">
        <v>14</v>
      </c>
      <c r="W331">
        <v>15</v>
      </c>
    </row>
    <row r="332" spans="1:23">
      <c r="A332">
        <v>349</v>
      </c>
      <c r="B332" t="s">
        <v>151</v>
      </c>
      <c r="C332" t="s">
        <v>143</v>
      </c>
      <c r="D332">
        <v>17</v>
      </c>
      <c r="E332" t="s">
        <v>40</v>
      </c>
      <c r="F332" t="s">
        <v>144</v>
      </c>
      <c r="G332" t="s">
        <v>145</v>
      </c>
      <c r="H332" t="s">
        <v>101</v>
      </c>
      <c r="I332" t="s">
        <v>158</v>
      </c>
      <c r="J332" t="s">
        <v>159</v>
      </c>
      <c r="K332" t="s">
        <v>147</v>
      </c>
      <c r="L332" t="s">
        <v>161</v>
      </c>
      <c r="M332">
        <v>0</v>
      </c>
      <c r="N332" t="s">
        <v>149</v>
      </c>
      <c r="O332" t="s">
        <v>150</v>
      </c>
      <c r="P332" t="s">
        <v>150</v>
      </c>
      <c r="Q332" t="s">
        <v>150</v>
      </c>
      <c r="R332" t="s">
        <v>150</v>
      </c>
      <c r="S332" t="s">
        <v>150</v>
      </c>
      <c r="T332">
        <v>0</v>
      </c>
      <c r="U332">
        <v>13</v>
      </c>
      <c r="V332">
        <v>15</v>
      </c>
      <c r="W332">
        <v>15</v>
      </c>
    </row>
    <row r="333" spans="1:23">
      <c r="A333">
        <v>379</v>
      </c>
      <c r="B333" t="s">
        <v>142</v>
      </c>
      <c r="C333" t="s">
        <v>143</v>
      </c>
      <c r="D333">
        <v>18</v>
      </c>
      <c r="E333" t="s">
        <v>40</v>
      </c>
      <c r="F333" t="s">
        <v>144</v>
      </c>
      <c r="G333" t="s">
        <v>145</v>
      </c>
      <c r="H333" t="s">
        <v>158</v>
      </c>
      <c r="I333" t="s">
        <v>158</v>
      </c>
      <c r="J333" t="s">
        <v>147</v>
      </c>
      <c r="K333" t="s">
        <v>147</v>
      </c>
      <c r="L333" t="s">
        <v>148</v>
      </c>
      <c r="M333">
        <v>0</v>
      </c>
      <c r="N333" t="s">
        <v>149</v>
      </c>
      <c r="O333" t="s">
        <v>150</v>
      </c>
      <c r="P333" t="s">
        <v>149</v>
      </c>
      <c r="Q333" t="s">
        <v>150</v>
      </c>
      <c r="R333" t="s">
        <v>150</v>
      </c>
      <c r="S333" t="s">
        <v>150</v>
      </c>
      <c r="T333">
        <v>0</v>
      </c>
      <c r="U333">
        <v>15</v>
      </c>
      <c r="V333">
        <v>15</v>
      </c>
      <c r="W333">
        <v>15</v>
      </c>
    </row>
    <row r="334" spans="1:23">
      <c r="A334">
        <v>66</v>
      </c>
      <c r="B334" t="s">
        <v>151</v>
      </c>
      <c r="C334" t="s">
        <v>143</v>
      </c>
      <c r="D334">
        <v>16</v>
      </c>
      <c r="E334" t="s">
        <v>40</v>
      </c>
      <c r="F334" t="s">
        <v>152</v>
      </c>
      <c r="G334" t="s">
        <v>145</v>
      </c>
      <c r="H334" t="s">
        <v>101</v>
      </c>
      <c r="I334" t="s">
        <v>158</v>
      </c>
      <c r="J334" t="s">
        <v>160</v>
      </c>
      <c r="K334" t="s">
        <v>153</v>
      </c>
      <c r="L334" t="s">
        <v>148</v>
      </c>
      <c r="M334">
        <v>0</v>
      </c>
      <c r="N334" t="s">
        <v>149</v>
      </c>
      <c r="O334" t="s">
        <v>149</v>
      </c>
      <c r="P334" t="s">
        <v>150</v>
      </c>
      <c r="Q334" t="s">
        <v>150</v>
      </c>
      <c r="R334" t="s">
        <v>150</v>
      </c>
      <c r="S334" t="s">
        <v>149</v>
      </c>
      <c r="T334">
        <v>2</v>
      </c>
      <c r="U334">
        <v>16</v>
      </c>
      <c r="V334">
        <v>15</v>
      </c>
      <c r="W334">
        <v>15</v>
      </c>
    </row>
    <row r="335" spans="1:23">
      <c r="A335">
        <v>377</v>
      </c>
      <c r="B335" t="s">
        <v>142</v>
      </c>
      <c r="C335" t="s">
        <v>143</v>
      </c>
      <c r="D335">
        <v>20</v>
      </c>
      <c r="E335" t="s">
        <v>40</v>
      </c>
      <c r="F335" t="s">
        <v>144</v>
      </c>
      <c r="G335" t="s">
        <v>145</v>
      </c>
      <c r="H335" t="s">
        <v>101</v>
      </c>
      <c r="I335" t="s">
        <v>100</v>
      </c>
      <c r="J335" t="s">
        <v>159</v>
      </c>
      <c r="K335" t="s">
        <v>147</v>
      </c>
      <c r="L335" t="s">
        <v>161</v>
      </c>
      <c r="M335">
        <v>2</v>
      </c>
      <c r="N335" t="s">
        <v>149</v>
      </c>
      <c r="O335" t="s">
        <v>150</v>
      </c>
      <c r="P335" t="s">
        <v>149</v>
      </c>
      <c r="Q335" t="s">
        <v>149</v>
      </c>
      <c r="R335" t="s">
        <v>150</v>
      </c>
      <c r="S335" t="s">
        <v>150</v>
      </c>
      <c r="T335">
        <v>4</v>
      </c>
      <c r="U335">
        <v>15</v>
      </c>
      <c r="V335">
        <v>14</v>
      </c>
      <c r="W335">
        <v>15</v>
      </c>
    </row>
    <row r="336" spans="1:23">
      <c r="A336">
        <v>364</v>
      </c>
      <c r="B336" t="s">
        <v>142</v>
      </c>
      <c r="C336" t="s">
        <v>143</v>
      </c>
      <c r="D336">
        <v>17</v>
      </c>
      <c r="E336" t="s">
        <v>40</v>
      </c>
      <c r="F336" t="s">
        <v>152</v>
      </c>
      <c r="G336" t="s">
        <v>145</v>
      </c>
      <c r="H336" t="s">
        <v>101</v>
      </c>
      <c r="I336" t="s">
        <v>101</v>
      </c>
      <c r="J336" t="s">
        <v>156</v>
      </c>
      <c r="K336" t="s">
        <v>156</v>
      </c>
      <c r="L336" t="s">
        <v>148</v>
      </c>
      <c r="M336">
        <v>0</v>
      </c>
      <c r="N336" t="s">
        <v>149</v>
      </c>
      <c r="O336" t="s">
        <v>150</v>
      </c>
      <c r="P336" t="s">
        <v>150</v>
      </c>
      <c r="Q336" t="s">
        <v>150</v>
      </c>
      <c r="R336" t="s">
        <v>150</v>
      </c>
      <c r="S336" t="s">
        <v>150</v>
      </c>
      <c r="T336">
        <v>0</v>
      </c>
      <c r="U336">
        <v>16</v>
      </c>
      <c r="V336">
        <v>15</v>
      </c>
      <c r="W336">
        <v>15</v>
      </c>
    </row>
    <row r="337" spans="1:23">
      <c r="A337">
        <v>216</v>
      </c>
      <c r="B337" t="s">
        <v>151</v>
      </c>
      <c r="C337" t="s">
        <v>143</v>
      </c>
      <c r="D337">
        <v>17</v>
      </c>
      <c r="E337" t="s">
        <v>40</v>
      </c>
      <c r="F337" t="s">
        <v>152</v>
      </c>
      <c r="G337" t="s">
        <v>145</v>
      </c>
      <c r="H337" t="s">
        <v>158</v>
      </c>
      <c r="I337" t="s">
        <v>100</v>
      </c>
      <c r="J337" t="s">
        <v>147</v>
      </c>
      <c r="K337" t="s">
        <v>147</v>
      </c>
      <c r="L337" t="s">
        <v>148</v>
      </c>
      <c r="M337">
        <v>0</v>
      </c>
      <c r="N337" t="s">
        <v>149</v>
      </c>
      <c r="O337" t="s">
        <v>150</v>
      </c>
      <c r="P337" t="s">
        <v>149</v>
      </c>
      <c r="Q337" t="s">
        <v>150</v>
      </c>
      <c r="R337" t="s">
        <v>150</v>
      </c>
      <c r="S337" t="s">
        <v>149</v>
      </c>
      <c r="T337">
        <v>2</v>
      </c>
      <c r="U337">
        <v>14</v>
      </c>
      <c r="V337">
        <v>15</v>
      </c>
      <c r="W337">
        <v>15</v>
      </c>
    </row>
    <row r="338" spans="1:23">
      <c r="A338">
        <v>227</v>
      </c>
      <c r="B338" t="s">
        <v>151</v>
      </c>
      <c r="C338" t="s">
        <v>143</v>
      </c>
      <c r="D338">
        <v>17</v>
      </c>
      <c r="E338" t="s">
        <v>40</v>
      </c>
      <c r="F338" t="s">
        <v>144</v>
      </c>
      <c r="G338" t="s">
        <v>145</v>
      </c>
      <c r="H338" t="s">
        <v>158</v>
      </c>
      <c r="I338" t="s">
        <v>100</v>
      </c>
      <c r="J338" t="s">
        <v>147</v>
      </c>
      <c r="K338" t="s">
        <v>147</v>
      </c>
      <c r="L338" t="s">
        <v>148</v>
      </c>
      <c r="M338">
        <v>0</v>
      </c>
      <c r="N338" t="s">
        <v>149</v>
      </c>
      <c r="O338" t="s">
        <v>149</v>
      </c>
      <c r="P338" t="s">
        <v>150</v>
      </c>
      <c r="Q338" t="s">
        <v>149</v>
      </c>
      <c r="R338" t="s">
        <v>150</v>
      </c>
      <c r="S338" t="s">
        <v>149</v>
      </c>
      <c r="T338">
        <v>10</v>
      </c>
      <c r="U338">
        <v>16</v>
      </c>
      <c r="V338">
        <v>15</v>
      </c>
      <c r="W338">
        <v>15</v>
      </c>
    </row>
    <row r="339" spans="1:23">
      <c r="A339">
        <v>336</v>
      </c>
      <c r="B339" t="s">
        <v>151</v>
      </c>
      <c r="C339" t="s">
        <v>143</v>
      </c>
      <c r="D339">
        <v>17</v>
      </c>
      <c r="E339" t="s">
        <v>40</v>
      </c>
      <c r="F339" t="s">
        <v>144</v>
      </c>
      <c r="G339" t="s">
        <v>145</v>
      </c>
      <c r="H339" t="s">
        <v>158</v>
      </c>
      <c r="I339" t="s">
        <v>101</v>
      </c>
      <c r="J339" t="s">
        <v>153</v>
      </c>
      <c r="K339" t="s">
        <v>147</v>
      </c>
      <c r="L339" t="s">
        <v>161</v>
      </c>
      <c r="M339">
        <v>0</v>
      </c>
      <c r="N339" t="s">
        <v>149</v>
      </c>
      <c r="O339" t="s">
        <v>149</v>
      </c>
      <c r="P339" t="s">
        <v>149</v>
      </c>
      <c r="Q339" t="s">
        <v>150</v>
      </c>
      <c r="R339" t="s">
        <v>150</v>
      </c>
      <c r="S339" t="s">
        <v>149</v>
      </c>
      <c r="T339">
        <v>16</v>
      </c>
      <c r="U339">
        <v>16</v>
      </c>
      <c r="V339">
        <v>15</v>
      </c>
      <c r="W339">
        <v>15</v>
      </c>
    </row>
    <row r="340" spans="1:23">
      <c r="A340">
        <v>21</v>
      </c>
      <c r="B340" t="s">
        <v>151</v>
      </c>
      <c r="C340" t="s">
        <v>162</v>
      </c>
      <c r="D340">
        <v>15</v>
      </c>
      <c r="E340" t="s">
        <v>40</v>
      </c>
      <c r="F340" t="s">
        <v>144</v>
      </c>
      <c r="G340" t="s">
        <v>145</v>
      </c>
      <c r="H340" t="s">
        <v>101</v>
      </c>
      <c r="I340" t="s">
        <v>158</v>
      </c>
      <c r="J340" t="s">
        <v>160</v>
      </c>
      <c r="K340" t="s">
        <v>147</v>
      </c>
      <c r="L340" t="s">
        <v>148</v>
      </c>
      <c r="M340">
        <v>0</v>
      </c>
      <c r="N340" t="s">
        <v>149</v>
      </c>
      <c r="O340" t="s">
        <v>149</v>
      </c>
      <c r="P340" t="s">
        <v>149</v>
      </c>
      <c r="Q340" t="s">
        <v>150</v>
      </c>
      <c r="R340" t="s">
        <v>150</v>
      </c>
      <c r="S340" t="s">
        <v>149</v>
      </c>
      <c r="T340">
        <v>0</v>
      </c>
      <c r="U340">
        <v>13</v>
      </c>
      <c r="V340">
        <v>14</v>
      </c>
      <c r="W340">
        <v>15</v>
      </c>
    </row>
    <row r="341" spans="1:23">
      <c r="A341">
        <v>10</v>
      </c>
      <c r="B341" t="s">
        <v>151</v>
      </c>
      <c r="C341" t="s">
        <v>162</v>
      </c>
      <c r="D341">
        <v>15</v>
      </c>
      <c r="E341" t="s">
        <v>40</v>
      </c>
      <c r="F341" t="s">
        <v>144</v>
      </c>
      <c r="G341" t="s">
        <v>145</v>
      </c>
      <c r="H341" t="s">
        <v>158</v>
      </c>
      <c r="I341" t="s">
        <v>101</v>
      </c>
      <c r="J341" t="s">
        <v>147</v>
      </c>
      <c r="K341" t="s">
        <v>147</v>
      </c>
      <c r="L341" t="s">
        <v>148</v>
      </c>
      <c r="M341">
        <v>0</v>
      </c>
      <c r="N341" t="s">
        <v>149</v>
      </c>
      <c r="O341" t="s">
        <v>150</v>
      </c>
      <c r="P341" t="s">
        <v>150</v>
      </c>
      <c r="Q341" t="s">
        <v>150</v>
      </c>
      <c r="R341" t="s">
        <v>150</v>
      </c>
      <c r="S341" t="s">
        <v>149</v>
      </c>
      <c r="T341">
        <v>0</v>
      </c>
      <c r="U341">
        <v>14</v>
      </c>
      <c r="V341">
        <v>15</v>
      </c>
      <c r="W341">
        <v>15</v>
      </c>
    </row>
    <row r="342" spans="1:23">
      <c r="A342">
        <v>58</v>
      </c>
      <c r="B342" t="s">
        <v>151</v>
      </c>
      <c r="C342" t="s">
        <v>162</v>
      </c>
      <c r="D342">
        <v>15</v>
      </c>
      <c r="E342" t="s">
        <v>40</v>
      </c>
      <c r="F342" t="s">
        <v>144</v>
      </c>
      <c r="G342" t="s">
        <v>145</v>
      </c>
      <c r="H342" t="s">
        <v>101</v>
      </c>
      <c r="I342" t="s">
        <v>101</v>
      </c>
      <c r="J342" t="s">
        <v>160</v>
      </c>
      <c r="K342" t="s">
        <v>159</v>
      </c>
      <c r="L342" t="s">
        <v>148</v>
      </c>
      <c r="M342">
        <v>0</v>
      </c>
      <c r="N342" t="s">
        <v>149</v>
      </c>
      <c r="O342" t="s">
        <v>149</v>
      </c>
      <c r="P342" t="s">
        <v>150</v>
      </c>
      <c r="Q342" t="s">
        <v>150</v>
      </c>
      <c r="R342" t="s">
        <v>149</v>
      </c>
      <c r="S342" t="s">
        <v>149</v>
      </c>
      <c r="T342">
        <v>4</v>
      </c>
      <c r="U342">
        <v>14</v>
      </c>
      <c r="V342">
        <v>15</v>
      </c>
      <c r="W342">
        <v>15</v>
      </c>
    </row>
    <row r="343" spans="1:23">
      <c r="A343">
        <v>159</v>
      </c>
      <c r="B343" t="s">
        <v>151</v>
      </c>
      <c r="C343" t="s">
        <v>162</v>
      </c>
      <c r="D343">
        <v>16</v>
      </c>
      <c r="E343" t="s">
        <v>41</v>
      </c>
      <c r="F343" t="s">
        <v>144</v>
      </c>
      <c r="G343" t="s">
        <v>145</v>
      </c>
      <c r="H343" t="s">
        <v>100</v>
      </c>
      <c r="I343" t="s">
        <v>100</v>
      </c>
      <c r="J343" t="s">
        <v>156</v>
      </c>
      <c r="K343" t="s">
        <v>147</v>
      </c>
      <c r="L343" t="s">
        <v>157</v>
      </c>
      <c r="M343">
        <v>0</v>
      </c>
      <c r="N343" t="s">
        <v>149</v>
      </c>
      <c r="O343" t="s">
        <v>149</v>
      </c>
      <c r="P343" t="s">
        <v>149</v>
      </c>
      <c r="Q343" t="s">
        <v>149</v>
      </c>
      <c r="R343" t="s">
        <v>149</v>
      </c>
      <c r="S343" t="s">
        <v>149</v>
      </c>
      <c r="T343">
        <v>2</v>
      </c>
      <c r="U343">
        <v>17</v>
      </c>
      <c r="V343">
        <v>15</v>
      </c>
      <c r="W343">
        <v>15</v>
      </c>
    </row>
    <row r="344" spans="1:23">
      <c r="A344">
        <v>250</v>
      </c>
      <c r="B344" t="s">
        <v>151</v>
      </c>
      <c r="C344" t="s">
        <v>162</v>
      </c>
      <c r="D344">
        <v>16</v>
      </c>
      <c r="E344" t="s">
        <v>40</v>
      </c>
      <c r="F344" t="s">
        <v>144</v>
      </c>
      <c r="G344" t="s">
        <v>145</v>
      </c>
      <c r="H344" t="s">
        <v>163</v>
      </c>
      <c r="I344" t="s">
        <v>100</v>
      </c>
      <c r="J344" t="s">
        <v>147</v>
      </c>
      <c r="K344" t="s">
        <v>147</v>
      </c>
      <c r="L344" t="s">
        <v>157</v>
      </c>
      <c r="M344">
        <v>0</v>
      </c>
      <c r="N344" t="s">
        <v>149</v>
      </c>
      <c r="O344" t="s">
        <v>150</v>
      </c>
      <c r="P344" t="s">
        <v>149</v>
      </c>
      <c r="Q344" t="s">
        <v>149</v>
      </c>
      <c r="R344" t="s">
        <v>150</v>
      </c>
      <c r="S344" t="s">
        <v>149</v>
      </c>
      <c r="T344">
        <v>0</v>
      </c>
      <c r="U344">
        <v>13</v>
      </c>
      <c r="V344">
        <v>15</v>
      </c>
      <c r="W344">
        <v>15</v>
      </c>
    </row>
    <row r="345" spans="1:23">
      <c r="A345">
        <v>71</v>
      </c>
      <c r="B345" t="s">
        <v>151</v>
      </c>
      <c r="C345" t="s">
        <v>162</v>
      </c>
      <c r="D345">
        <v>16</v>
      </c>
      <c r="E345" t="s">
        <v>40</v>
      </c>
      <c r="F345" t="s">
        <v>144</v>
      </c>
      <c r="G345" t="s">
        <v>145</v>
      </c>
      <c r="H345" t="s">
        <v>158</v>
      </c>
      <c r="I345" t="s">
        <v>146</v>
      </c>
      <c r="J345" t="s">
        <v>147</v>
      </c>
      <c r="K345" t="s">
        <v>147</v>
      </c>
      <c r="L345" t="s">
        <v>154</v>
      </c>
      <c r="M345">
        <v>0</v>
      </c>
      <c r="N345" t="s">
        <v>149</v>
      </c>
      <c r="O345" t="s">
        <v>150</v>
      </c>
      <c r="P345" t="s">
        <v>149</v>
      </c>
      <c r="Q345" t="s">
        <v>150</v>
      </c>
      <c r="R345" t="s">
        <v>150</v>
      </c>
      <c r="S345" t="s">
        <v>149</v>
      </c>
      <c r="T345">
        <v>0</v>
      </c>
      <c r="U345">
        <v>13</v>
      </c>
      <c r="V345">
        <v>15</v>
      </c>
      <c r="W345">
        <v>15</v>
      </c>
    </row>
    <row r="346" spans="1:23">
      <c r="A346">
        <v>6</v>
      </c>
      <c r="B346" t="s">
        <v>151</v>
      </c>
      <c r="C346" t="s">
        <v>162</v>
      </c>
      <c r="D346">
        <v>16</v>
      </c>
      <c r="E346" t="s">
        <v>40</v>
      </c>
      <c r="F346" t="s">
        <v>152</v>
      </c>
      <c r="G346" t="s">
        <v>145</v>
      </c>
      <c r="H346" t="s">
        <v>101</v>
      </c>
      <c r="I346" t="s">
        <v>158</v>
      </c>
      <c r="J346" t="s">
        <v>153</v>
      </c>
      <c r="K346" t="s">
        <v>147</v>
      </c>
      <c r="L346" t="s">
        <v>148</v>
      </c>
      <c r="M346">
        <v>0</v>
      </c>
      <c r="N346" t="s">
        <v>149</v>
      </c>
      <c r="O346" t="s">
        <v>150</v>
      </c>
      <c r="P346" t="s">
        <v>150</v>
      </c>
      <c r="Q346" t="s">
        <v>150</v>
      </c>
      <c r="R346" t="s">
        <v>150</v>
      </c>
      <c r="S346" t="s">
        <v>149</v>
      </c>
      <c r="T346">
        <v>10</v>
      </c>
      <c r="U346">
        <v>15</v>
      </c>
      <c r="V346">
        <v>15</v>
      </c>
      <c r="W346">
        <v>15</v>
      </c>
    </row>
    <row r="347" spans="1:23">
      <c r="A347">
        <v>22</v>
      </c>
      <c r="B347" t="s">
        <v>151</v>
      </c>
      <c r="C347" t="s">
        <v>162</v>
      </c>
      <c r="D347">
        <v>15</v>
      </c>
      <c r="E347" t="s">
        <v>40</v>
      </c>
      <c r="F347" t="s">
        <v>144</v>
      </c>
      <c r="G347" t="s">
        <v>145</v>
      </c>
      <c r="H347" t="s">
        <v>101</v>
      </c>
      <c r="I347" t="s">
        <v>101</v>
      </c>
      <c r="J347" t="s">
        <v>159</v>
      </c>
      <c r="K347" t="s">
        <v>159</v>
      </c>
      <c r="L347" t="s">
        <v>157</v>
      </c>
      <c r="M347">
        <v>0</v>
      </c>
      <c r="N347" t="s">
        <v>149</v>
      </c>
      <c r="O347" t="s">
        <v>150</v>
      </c>
      <c r="P347" t="s">
        <v>149</v>
      </c>
      <c r="Q347" t="s">
        <v>150</v>
      </c>
      <c r="R347" t="s">
        <v>150</v>
      </c>
      <c r="S347" t="s">
        <v>149</v>
      </c>
      <c r="T347">
        <v>0</v>
      </c>
      <c r="U347">
        <v>12</v>
      </c>
      <c r="V347">
        <v>15</v>
      </c>
      <c r="W347">
        <v>15</v>
      </c>
    </row>
    <row r="348" spans="1:23">
      <c r="A348">
        <v>38</v>
      </c>
      <c r="B348" t="s">
        <v>151</v>
      </c>
      <c r="C348" t="s">
        <v>162</v>
      </c>
      <c r="D348">
        <v>16</v>
      </c>
      <c r="E348" t="s">
        <v>41</v>
      </c>
      <c r="F348" t="s">
        <v>144</v>
      </c>
      <c r="G348" t="s">
        <v>155</v>
      </c>
      <c r="H348" t="s">
        <v>101</v>
      </c>
      <c r="I348" t="s">
        <v>101</v>
      </c>
      <c r="J348" t="s">
        <v>147</v>
      </c>
      <c r="K348" t="s">
        <v>160</v>
      </c>
      <c r="L348" t="s">
        <v>161</v>
      </c>
      <c r="M348">
        <v>0</v>
      </c>
      <c r="N348" t="s">
        <v>149</v>
      </c>
      <c r="O348" t="s">
        <v>149</v>
      </c>
      <c r="P348" t="s">
        <v>150</v>
      </c>
      <c r="Q348" t="s">
        <v>150</v>
      </c>
      <c r="R348" t="s">
        <v>150</v>
      </c>
      <c r="S348" t="s">
        <v>150</v>
      </c>
      <c r="T348">
        <v>7</v>
      </c>
      <c r="U348">
        <v>15</v>
      </c>
      <c r="V348">
        <v>16</v>
      </c>
      <c r="W348">
        <v>15</v>
      </c>
    </row>
    <row r="349" spans="1:23">
      <c r="A349">
        <v>97</v>
      </c>
      <c r="B349" t="s">
        <v>151</v>
      </c>
      <c r="C349" t="s">
        <v>162</v>
      </c>
      <c r="D349">
        <v>16</v>
      </c>
      <c r="E349" t="s">
        <v>41</v>
      </c>
      <c r="F349" t="s">
        <v>144</v>
      </c>
      <c r="G349" t="s">
        <v>145</v>
      </c>
      <c r="H349" t="s">
        <v>101</v>
      </c>
      <c r="I349" t="s">
        <v>158</v>
      </c>
      <c r="J349" t="s">
        <v>153</v>
      </c>
      <c r="K349" t="s">
        <v>147</v>
      </c>
      <c r="L349" t="s">
        <v>157</v>
      </c>
      <c r="M349">
        <v>0</v>
      </c>
      <c r="N349" t="s">
        <v>150</v>
      </c>
      <c r="O349" t="s">
        <v>149</v>
      </c>
      <c r="P349" t="s">
        <v>150</v>
      </c>
      <c r="Q349" t="s">
        <v>149</v>
      </c>
      <c r="R349" t="s">
        <v>150</v>
      </c>
      <c r="S349" t="s">
        <v>149</v>
      </c>
      <c r="T349">
        <v>2</v>
      </c>
      <c r="U349">
        <v>11</v>
      </c>
      <c r="V349">
        <v>15</v>
      </c>
      <c r="W349">
        <v>15</v>
      </c>
    </row>
    <row r="350" spans="1:23">
      <c r="A350">
        <v>188</v>
      </c>
      <c r="B350" t="s">
        <v>151</v>
      </c>
      <c r="C350" t="s">
        <v>162</v>
      </c>
      <c r="D350">
        <v>16</v>
      </c>
      <c r="E350" t="s">
        <v>40</v>
      </c>
      <c r="F350" t="s">
        <v>152</v>
      </c>
      <c r="G350" t="s">
        <v>145</v>
      </c>
      <c r="H350" t="s">
        <v>100</v>
      </c>
      <c r="I350" t="s">
        <v>146</v>
      </c>
      <c r="J350" t="s">
        <v>147</v>
      </c>
      <c r="K350" t="s">
        <v>147</v>
      </c>
      <c r="L350" t="s">
        <v>148</v>
      </c>
      <c r="M350">
        <v>0</v>
      </c>
      <c r="N350" t="s">
        <v>149</v>
      </c>
      <c r="O350" t="s">
        <v>150</v>
      </c>
      <c r="P350" t="s">
        <v>150</v>
      </c>
      <c r="Q350" t="s">
        <v>150</v>
      </c>
      <c r="R350" t="s">
        <v>150</v>
      </c>
      <c r="S350" t="s">
        <v>150</v>
      </c>
      <c r="T350">
        <v>0</v>
      </c>
      <c r="U350">
        <v>15</v>
      </c>
      <c r="V350">
        <v>15</v>
      </c>
      <c r="W350">
        <v>15</v>
      </c>
    </row>
    <row r="351" spans="1:23">
      <c r="A351">
        <v>343</v>
      </c>
      <c r="B351" t="s">
        <v>151</v>
      </c>
      <c r="C351" t="s">
        <v>162</v>
      </c>
      <c r="D351">
        <v>18</v>
      </c>
      <c r="E351" t="s">
        <v>40</v>
      </c>
      <c r="F351" t="s">
        <v>152</v>
      </c>
      <c r="G351" t="s">
        <v>145</v>
      </c>
      <c r="H351" t="s">
        <v>158</v>
      </c>
      <c r="I351" t="s">
        <v>101</v>
      </c>
      <c r="J351" t="s">
        <v>153</v>
      </c>
      <c r="K351" t="s">
        <v>147</v>
      </c>
      <c r="L351" t="s">
        <v>148</v>
      </c>
      <c r="M351">
        <v>0</v>
      </c>
      <c r="N351" t="s">
        <v>149</v>
      </c>
      <c r="O351" t="s">
        <v>149</v>
      </c>
      <c r="P351" t="s">
        <v>150</v>
      </c>
      <c r="Q351" t="s">
        <v>150</v>
      </c>
      <c r="R351" t="s">
        <v>150</v>
      </c>
      <c r="S351" t="s">
        <v>150</v>
      </c>
      <c r="T351">
        <v>11</v>
      </c>
      <c r="U351">
        <v>16</v>
      </c>
      <c r="V351">
        <v>15</v>
      </c>
      <c r="W351">
        <v>15</v>
      </c>
    </row>
    <row r="352" spans="1:23">
      <c r="A352">
        <v>84</v>
      </c>
      <c r="B352" t="s">
        <v>151</v>
      </c>
      <c r="C352" t="s">
        <v>162</v>
      </c>
      <c r="D352">
        <v>15</v>
      </c>
      <c r="E352" t="s">
        <v>40</v>
      </c>
      <c r="F352" t="s">
        <v>152</v>
      </c>
      <c r="G352" t="s">
        <v>145</v>
      </c>
      <c r="H352" t="s">
        <v>100</v>
      </c>
      <c r="I352" t="s">
        <v>100</v>
      </c>
      <c r="J352" t="s">
        <v>153</v>
      </c>
      <c r="K352" t="s">
        <v>153</v>
      </c>
      <c r="L352" t="s">
        <v>148</v>
      </c>
      <c r="M352">
        <v>0</v>
      </c>
      <c r="N352" t="s">
        <v>149</v>
      </c>
      <c r="O352" t="s">
        <v>150</v>
      </c>
      <c r="P352" t="s">
        <v>150</v>
      </c>
      <c r="Q352" t="s">
        <v>150</v>
      </c>
      <c r="R352" t="s">
        <v>150</v>
      </c>
      <c r="S352" t="s">
        <v>149</v>
      </c>
      <c r="T352">
        <v>4</v>
      </c>
      <c r="U352">
        <v>15</v>
      </c>
      <c r="V352">
        <v>15</v>
      </c>
      <c r="W352">
        <v>15</v>
      </c>
    </row>
    <row r="353" spans="1:23">
      <c r="A353">
        <v>290</v>
      </c>
      <c r="B353" t="s">
        <v>151</v>
      </c>
      <c r="C353" t="s">
        <v>162</v>
      </c>
      <c r="D353">
        <v>18</v>
      </c>
      <c r="E353" t="s">
        <v>40</v>
      </c>
      <c r="F353" t="s">
        <v>152</v>
      </c>
      <c r="G353" t="s">
        <v>155</v>
      </c>
      <c r="H353" t="s">
        <v>101</v>
      </c>
      <c r="I353" t="s">
        <v>101</v>
      </c>
      <c r="J353" t="s">
        <v>160</v>
      </c>
      <c r="K353" t="s">
        <v>160</v>
      </c>
      <c r="L353" t="s">
        <v>148</v>
      </c>
      <c r="M353">
        <v>0</v>
      </c>
      <c r="N353" t="s">
        <v>149</v>
      </c>
      <c r="O353" t="s">
        <v>150</v>
      </c>
      <c r="P353" t="s">
        <v>150</v>
      </c>
      <c r="Q353" t="s">
        <v>150</v>
      </c>
      <c r="R353" t="s">
        <v>150</v>
      </c>
      <c r="S353" t="s">
        <v>149</v>
      </c>
      <c r="T353">
        <v>9</v>
      </c>
      <c r="U353">
        <v>15</v>
      </c>
      <c r="V353">
        <v>13</v>
      </c>
      <c r="W353">
        <v>15</v>
      </c>
    </row>
    <row r="354" spans="1:23">
      <c r="A354">
        <v>35</v>
      </c>
      <c r="B354" t="s">
        <v>151</v>
      </c>
      <c r="C354" t="s">
        <v>162</v>
      </c>
      <c r="D354">
        <v>16</v>
      </c>
      <c r="E354" t="s">
        <v>40</v>
      </c>
      <c r="F354" t="s">
        <v>144</v>
      </c>
      <c r="G354" t="s">
        <v>145</v>
      </c>
      <c r="H354" t="s">
        <v>158</v>
      </c>
      <c r="I354" t="s">
        <v>100</v>
      </c>
      <c r="J354" t="s">
        <v>147</v>
      </c>
      <c r="K354" t="s">
        <v>147</v>
      </c>
      <c r="L354" t="s">
        <v>157</v>
      </c>
      <c r="M354">
        <v>0</v>
      </c>
      <c r="N354" t="s">
        <v>149</v>
      </c>
      <c r="O354" t="s">
        <v>150</v>
      </c>
      <c r="P354" t="s">
        <v>149</v>
      </c>
      <c r="Q354" t="s">
        <v>149</v>
      </c>
      <c r="R354" t="s">
        <v>150</v>
      </c>
      <c r="S354" t="s">
        <v>149</v>
      </c>
      <c r="T354">
        <v>0</v>
      </c>
      <c r="U354">
        <v>12</v>
      </c>
      <c r="V354">
        <v>14</v>
      </c>
      <c r="W354">
        <v>15</v>
      </c>
    </row>
    <row r="355" spans="1:23">
      <c r="A355">
        <v>28</v>
      </c>
      <c r="B355" t="s">
        <v>151</v>
      </c>
      <c r="C355" t="s">
        <v>162</v>
      </c>
      <c r="D355">
        <v>15</v>
      </c>
      <c r="E355" t="s">
        <v>40</v>
      </c>
      <c r="F355" t="s">
        <v>144</v>
      </c>
      <c r="G355" t="s">
        <v>145</v>
      </c>
      <c r="H355" t="s">
        <v>101</v>
      </c>
      <c r="I355" t="s">
        <v>100</v>
      </c>
      <c r="J355" t="s">
        <v>159</v>
      </c>
      <c r="K355" t="s">
        <v>153</v>
      </c>
      <c r="L355" t="s">
        <v>157</v>
      </c>
      <c r="M355">
        <v>0</v>
      </c>
      <c r="N355" t="s">
        <v>149</v>
      </c>
      <c r="O355" t="s">
        <v>150</v>
      </c>
      <c r="P355" t="s">
        <v>149</v>
      </c>
      <c r="Q355" t="s">
        <v>150</v>
      </c>
      <c r="R355" t="s">
        <v>150</v>
      </c>
      <c r="S355" t="s">
        <v>149</v>
      </c>
      <c r="T355">
        <v>4</v>
      </c>
      <c r="U355">
        <v>15</v>
      </c>
      <c r="V355">
        <v>16</v>
      </c>
      <c r="W355">
        <v>15</v>
      </c>
    </row>
    <row r="356" spans="1:23">
      <c r="A356">
        <v>122</v>
      </c>
      <c r="B356" t="s">
        <v>151</v>
      </c>
      <c r="C356" t="s">
        <v>162</v>
      </c>
      <c r="D356">
        <v>15</v>
      </c>
      <c r="E356" t="s">
        <v>40</v>
      </c>
      <c r="F356" t="s">
        <v>144</v>
      </c>
      <c r="G356" t="s">
        <v>145</v>
      </c>
      <c r="H356" t="s">
        <v>100</v>
      </c>
      <c r="I356" t="s">
        <v>100</v>
      </c>
      <c r="J356" t="s">
        <v>153</v>
      </c>
      <c r="K356" t="s">
        <v>153</v>
      </c>
      <c r="L356" t="s">
        <v>154</v>
      </c>
      <c r="M356">
        <v>0</v>
      </c>
      <c r="N356" t="s">
        <v>149</v>
      </c>
      <c r="O356" t="s">
        <v>150</v>
      </c>
      <c r="P356" t="s">
        <v>150</v>
      </c>
      <c r="Q356" t="s">
        <v>150</v>
      </c>
      <c r="R356" t="s">
        <v>150</v>
      </c>
      <c r="S356" t="s">
        <v>149</v>
      </c>
      <c r="T356">
        <v>6</v>
      </c>
      <c r="U356">
        <v>16</v>
      </c>
      <c r="V356">
        <v>14</v>
      </c>
      <c r="W356">
        <v>15</v>
      </c>
    </row>
    <row r="357" spans="1:23">
      <c r="A357">
        <v>70</v>
      </c>
      <c r="B357" t="s">
        <v>151</v>
      </c>
      <c r="C357" t="s">
        <v>143</v>
      </c>
      <c r="D357">
        <v>15</v>
      </c>
      <c r="E357" t="s">
        <v>41</v>
      </c>
      <c r="F357" t="s">
        <v>152</v>
      </c>
      <c r="G357" t="s">
        <v>145</v>
      </c>
      <c r="H357" t="s">
        <v>158</v>
      </c>
      <c r="I357" t="s">
        <v>146</v>
      </c>
      <c r="J357" t="s">
        <v>147</v>
      </c>
      <c r="K357" t="s">
        <v>147</v>
      </c>
      <c r="L357" t="s">
        <v>154</v>
      </c>
      <c r="M357">
        <v>0</v>
      </c>
      <c r="N357" t="s">
        <v>149</v>
      </c>
      <c r="O357" t="s">
        <v>149</v>
      </c>
      <c r="P357" t="s">
        <v>149</v>
      </c>
      <c r="Q357" t="s">
        <v>149</v>
      </c>
      <c r="R357" t="s">
        <v>150</v>
      </c>
      <c r="S357" t="s">
        <v>149</v>
      </c>
      <c r="T357">
        <v>12</v>
      </c>
      <c r="U357">
        <v>16</v>
      </c>
      <c r="V357">
        <v>16</v>
      </c>
      <c r="W357">
        <v>16</v>
      </c>
    </row>
    <row r="358" spans="1:23">
      <c r="A358">
        <v>360</v>
      </c>
      <c r="B358" t="s">
        <v>142</v>
      </c>
      <c r="C358" t="s">
        <v>143</v>
      </c>
      <c r="D358">
        <v>18</v>
      </c>
      <c r="E358" t="s">
        <v>40</v>
      </c>
      <c r="F358" t="s">
        <v>152</v>
      </c>
      <c r="G358" t="s">
        <v>145</v>
      </c>
      <c r="H358" t="s">
        <v>146</v>
      </c>
      <c r="I358" t="s">
        <v>146</v>
      </c>
      <c r="J358" t="s">
        <v>156</v>
      </c>
      <c r="K358" t="s">
        <v>153</v>
      </c>
      <c r="L358" t="s">
        <v>161</v>
      </c>
      <c r="M358">
        <v>0</v>
      </c>
      <c r="N358" t="s">
        <v>149</v>
      </c>
      <c r="O358" t="s">
        <v>149</v>
      </c>
      <c r="P358" t="s">
        <v>149</v>
      </c>
      <c r="Q358" t="s">
        <v>150</v>
      </c>
      <c r="R358" t="s">
        <v>150</v>
      </c>
      <c r="S358" t="s">
        <v>149</v>
      </c>
      <c r="T358">
        <v>0</v>
      </c>
      <c r="U358">
        <v>18</v>
      </c>
      <c r="V358">
        <v>16</v>
      </c>
      <c r="W358">
        <v>16</v>
      </c>
    </row>
    <row r="359" spans="1:23">
      <c r="A359">
        <v>60</v>
      </c>
      <c r="B359" t="s">
        <v>151</v>
      </c>
      <c r="C359" t="s">
        <v>143</v>
      </c>
      <c r="D359">
        <v>16</v>
      </c>
      <c r="E359" t="s">
        <v>40</v>
      </c>
      <c r="F359" t="s">
        <v>144</v>
      </c>
      <c r="G359" t="s">
        <v>145</v>
      </c>
      <c r="H359" t="s">
        <v>101</v>
      </c>
      <c r="I359" t="s">
        <v>100</v>
      </c>
      <c r="J359" t="s">
        <v>153</v>
      </c>
      <c r="K359" t="s">
        <v>147</v>
      </c>
      <c r="L359" t="s">
        <v>148</v>
      </c>
      <c r="M359">
        <v>0</v>
      </c>
      <c r="N359" t="s">
        <v>149</v>
      </c>
      <c r="O359" t="s">
        <v>149</v>
      </c>
      <c r="P359" t="s">
        <v>149</v>
      </c>
      <c r="Q359" t="s">
        <v>150</v>
      </c>
      <c r="R359" t="s">
        <v>150</v>
      </c>
      <c r="S359" t="s">
        <v>149</v>
      </c>
      <c r="T359">
        <v>2</v>
      </c>
      <c r="U359">
        <v>15</v>
      </c>
      <c r="V359">
        <v>16</v>
      </c>
      <c r="W359">
        <v>16</v>
      </c>
    </row>
    <row r="360" spans="1:23">
      <c r="A360">
        <v>168</v>
      </c>
      <c r="B360" t="s">
        <v>151</v>
      </c>
      <c r="C360" t="s">
        <v>143</v>
      </c>
      <c r="D360">
        <v>16</v>
      </c>
      <c r="E360" t="s">
        <v>40</v>
      </c>
      <c r="F360" t="s">
        <v>144</v>
      </c>
      <c r="G360" t="s">
        <v>145</v>
      </c>
      <c r="H360" t="s">
        <v>101</v>
      </c>
      <c r="I360" t="s">
        <v>100</v>
      </c>
      <c r="J360" t="s">
        <v>159</v>
      </c>
      <c r="K360" t="s">
        <v>153</v>
      </c>
      <c r="L360" t="s">
        <v>148</v>
      </c>
      <c r="M360">
        <v>0</v>
      </c>
      <c r="N360" t="s">
        <v>149</v>
      </c>
      <c r="O360" t="s">
        <v>150</v>
      </c>
      <c r="P360" t="s">
        <v>149</v>
      </c>
      <c r="Q360" t="s">
        <v>150</v>
      </c>
      <c r="R360" t="s">
        <v>150</v>
      </c>
      <c r="S360" t="s">
        <v>150</v>
      </c>
      <c r="T360">
        <v>0</v>
      </c>
      <c r="U360">
        <v>14</v>
      </c>
      <c r="V360">
        <v>15</v>
      </c>
      <c r="W360">
        <v>16</v>
      </c>
    </row>
    <row r="361" spans="1:23">
      <c r="A361">
        <v>201</v>
      </c>
      <c r="B361" t="s">
        <v>151</v>
      </c>
      <c r="C361" t="s">
        <v>143</v>
      </c>
      <c r="D361">
        <v>16</v>
      </c>
      <c r="E361" t="s">
        <v>40</v>
      </c>
      <c r="F361" t="s">
        <v>144</v>
      </c>
      <c r="G361" t="s">
        <v>145</v>
      </c>
      <c r="H361" t="s">
        <v>101</v>
      </c>
      <c r="I361" t="s">
        <v>158</v>
      </c>
      <c r="J361" t="s">
        <v>159</v>
      </c>
      <c r="K361" t="s">
        <v>147</v>
      </c>
      <c r="L361" t="s">
        <v>148</v>
      </c>
      <c r="M361">
        <v>0</v>
      </c>
      <c r="N361" t="s">
        <v>149</v>
      </c>
      <c r="O361" t="s">
        <v>149</v>
      </c>
      <c r="P361" t="s">
        <v>150</v>
      </c>
      <c r="Q361" t="s">
        <v>150</v>
      </c>
      <c r="R361" t="s">
        <v>150</v>
      </c>
      <c r="S361" t="s">
        <v>149</v>
      </c>
      <c r="T361">
        <v>2</v>
      </c>
      <c r="U361">
        <v>16</v>
      </c>
      <c r="V361">
        <v>16</v>
      </c>
      <c r="W361">
        <v>16</v>
      </c>
    </row>
    <row r="362" spans="1:23">
      <c r="A362">
        <v>110</v>
      </c>
      <c r="B362" t="s">
        <v>151</v>
      </c>
      <c r="C362" t="s">
        <v>143</v>
      </c>
      <c r="D362">
        <v>16</v>
      </c>
      <c r="E362" t="s">
        <v>40</v>
      </c>
      <c r="F362" t="s">
        <v>152</v>
      </c>
      <c r="G362" t="s">
        <v>145</v>
      </c>
      <c r="H362" t="s">
        <v>101</v>
      </c>
      <c r="I362" t="s">
        <v>101</v>
      </c>
      <c r="J362" t="s">
        <v>159</v>
      </c>
      <c r="K362" t="s">
        <v>159</v>
      </c>
      <c r="L362" t="s">
        <v>161</v>
      </c>
      <c r="M362">
        <v>0</v>
      </c>
      <c r="N362" t="s">
        <v>149</v>
      </c>
      <c r="O362" t="s">
        <v>150</v>
      </c>
      <c r="P362" t="s">
        <v>150</v>
      </c>
      <c r="Q362" t="s">
        <v>150</v>
      </c>
      <c r="R362" t="s">
        <v>150</v>
      </c>
      <c r="S362" t="s">
        <v>150</v>
      </c>
      <c r="T362">
        <v>4</v>
      </c>
      <c r="U362">
        <v>14</v>
      </c>
      <c r="V362">
        <v>15</v>
      </c>
      <c r="W362">
        <v>16</v>
      </c>
    </row>
    <row r="363" spans="1:23">
      <c r="A363">
        <v>23</v>
      </c>
      <c r="B363" t="s">
        <v>151</v>
      </c>
      <c r="C363" t="s">
        <v>162</v>
      </c>
      <c r="D363">
        <v>16</v>
      </c>
      <c r="E363" t="s">
        <v>40</v>
      </c>
      <c r="F363" t="s">
        <v>152</v>
      </c>
      <c r="G363" t="s">
        <v>145</v>
      </c>
      <c r="H363" t="s">
        <v>101</v>
      </c>
      <c r="I363" t="s">
        <v>100</v>
      </c>
      <c r="J363" t="s">
        <v>160</v>
      </c>
      <c r="K363" t="s">
        <v>147</v>
      </c>
      <c r="L363" t="s">
        <v>148</v>
      </c>
      <c r="M363">
        <v>0</v>
      </c>
      <c r="N363" t="s">
        <v>149</v>
      </c>
      <c r="O363" t="s">
        <v>149</v>
      </c>
      <c r="P363" t="s">
        <v>150</v>
      </c>
      <c r="Q363" t="s">
        <v>150</v>
      </c>
      <c r="R363" t="s">
        <v>150</v>
      </c>
      <c r="S363" t="s">
        <v>149</v>
      </c>
      <c r="T363">
        <v>2</v>
      </c>
      <c r="U363">
        <v>15</v>
      </c>
      <c r="V363">
        <v>15</v>
      </c>
      <c r="W363">
        <v>16</v>
      </c>
    </row>
    <row r="364" spans="1:23">
      <c r="A364">
        <v>300</v>
      </c>
      <c r="B364" t="s">
        <v>151</v>
      </c>
      <c r="C364" t="s">
        <v>162</v>
      </c>
      <c r="D364">
        <v>18</v>
      </c>
      <c r="E364" t="s">
        <v>40</v>
      </c>
      <c r="F364" t="s">
        <v>152</v>
      </c>
      <c r="G364" t="s">
        <v>145</v>
      </c>
      <c r="H364" t="s">
        <v>101</v>
      </c>
      <c r="I364" t="s">
        <v>101</v>
      </c>
      <c r="J364" t="s">
        <v>160</v>
      </c>
      <c r="K364" t="s">
        <v>160</v>
      </c>
      <c r="L364" t="s">
        <v>157</v>
      </c>
      <c r="M364">
        <v>0</v>
      </c>
      <c r="N364" t="s">
        <v>149</v>
      </c>
      <c r="O364" t="s">
        <v>150</v>
      </c>
      <c r="P364" t="s">
        <v>149</v>
      </c>
      <c r="Q364" t="s">
        <v>150</v>
      </c>
      <c r="R364" t="s">
        <v>150</v>
      </c>
      <c r="S364" t="s">
        <v>150</v>
      </c>
      <c r="T364">
        <v>5</v>
      </c>
      <c r="U364">
        <v>16</v>
      </c>
      <c r="V364">
        <v>15</v>
      </c>
      <c r="W364">
        <v>16</v>
      </c>
    </row>
    <row r="365" spans="1:23">
      <c r="A365">
        <v>15</v>
      </c>
      <c r="B365" t="s">
        <v>151</v>
      </c>
      <c r="C365" t="s">
        <v>162</v>
      </c>
      <c r="D365">
        <v>15</v>
      </c>
      <c r="E365" t="s">
        <v>40</v>
      </c>
      <c r="F365" t="s">
        <v>144</v>
      </c>
      <c r="G365" t="s">
        <v>155</v>
      </c>
      <c r="H365" t="s">
        <v>100</v>
      </c>
      <c r="I365" t="s">
        <v>100</v>
      </c>
      <c r="J365" t="s">
        <v>147</v>
      </c>
      <c r="K365" t="s">
        <v>147</v>
      </c>
      <c r="L365" t="s">
        <v>161</v>
      </c>
      <c r="M365">
        <v>0</v>
      </c>
      <c r="N365" t="s">
        <v>149</v>
      </c>
      <c r="O365" t="s">
        <v>149</v>
      </c>
      <c r="P365" t="s">
        <v>149</v>
      </c>
      <c r="Q365" t="s">
        <v>150</v>
      </c>
      <c r="R365" t="s">
        <v>150</v>
      </c>
      <c r="S365" t="s">
        <v>150</v>
      </c>
      <c r="T365">
        <v>0</v>
      </c>
      <c r="U365">
        <v>14</v>
      </c>
      <c r="V365">
        <v>16</v>
      </c>
      <c r="W365">
        <v>16</v>
      </c>
    </row>
    <row r="366" spans="1:23">
      <c r="A366">
        <v>33</v>
      </c>
      <c r="B366" t="s">
        <v>151</v>
      </c>
      <c r="C366" t="s">
        <v>162</v>
      </c>
      <c r="D366">
        <v>15</v>
      </c>
      <c r="E366" t="s">
        <v>41</v>
      </c>
      <c r="F366" t="s">
        <v>144</v>
      </c>
      <c r="G366" t="s">
        <v>145</v>
      </c>
      <c r="H366" t="s">
        <v>101</v>
      </c>
      <c r="I366" t="s">
        <v>158</v>
      </c>
      <c r="J366" t="s">
        <v>160</v>
      </c>
      <c r="K366" t="s">
        <v>156</v>
      </c>
      <c r="L366" t="s">
        <v>148</v>
      </c>
      <c r="M366">
        <v>0</v>
      </c>
      <c r="N366" t="s">
        <v>149</v>
      </c>
      <c r="O366" t="s">
        <v>149</v>
      </c>
      <c r="P366" t="s">
        <v>150</v>
      </c>
      <c r="Q366" t="s">
        <v>150</v>
      </c>
      <c r="R366" t="s">
        <v>150</v>
      </c>
      <c r="S366" t="s">
        <v>150</v>
      </c>
      <c r="T366">
        <v>0</v>
      </c>
      <c r="U366">
        <v>17</v>
      </c>
      <c r="V366">
        <v>16</v>
      </c>
      <c r="W366">
        <v>16</v>
      </c>
    </row>
    <row r="367" spans="1:23">
      <c r="A367">
        <v>172</v>
      </c>
      <c r="B367" t="s">
        <v>151</v>
      </c>
      <c r="C367" t="s">
        <v>162</v>
      </c>
      <c r="D367">
        <v>16</v>
      </c>
      <c r="E367" t="s">
        <v>40</v>
      </c>
      <c r="F367" t="s">
        <v>144</v>
      </c>
      <c r="G367" t="s">
        <v>145</v>
      </c>
      <c r="H367" t="s">
        <v>146</v>
      </c>
      <c r="I367" t="s">
        <v>163</v>
      </c>
      <c r="J367" t="s">
        <v>147</v>
      </c>
      <c r="K367" t="s">
        <v>147</v>
      </c>
      <c r="L367" t="s">
        <v>148</v>
      </c>
      <c r="M367">
        <v>0</v>
      </c>
      <c r="N367" t="s">
        <v>149</v>
      </c>
      <c r="O367" t="s">
        <v>150</v>
      </c>
      <c r="P367" t="s">
        <v>150</v>
      </c>
      <c r="Q367" t="s">
        <v>150</v>
      </c>
      <c r="R367" t="s">
        <v>150</v>
      </c>
      <c r="S367" t="s">
        <v>150</v>
      </c>
      <c r="T367">
        <v>2</v>
      </c>
      <c r="U367">
        <v>13</v>
      </c>
      <c r="V367">
        <v>15</v>
      </c>
      <c r="W367">
        <v>16</v>
      </c>
    </row>
    <row r="368" spans="1:23">
      <c r="A368">
        <v>347</v>
      </c>
      <c r="B368" t="s">
        <v>151</v>
      </c>
      <c r="C368" t="s">
        <v>162</v>
      </c>
      <c r="D368">
        <v>18</v>
      </c>
      <c r="E368" t="s">
        <v>41</v>
      </c>
      <c r="F368" t="s">
        <v>144</v>
      </c>
      <c r="G368" t="s">
        <v>145</v>
      </c>
      <c r="H368" t="s">
        <v>101</v>
      </c>
      <c r="I368" t="s">
        <v>158</v>
      </c>
      <c r="J368" t="s">
        <v>160</v>
      </c>
      <c r="K368" t="s">
        <v>153</v>
      </c>
      <c r="L368" t="s">
        <v>161</v>
      </c>
      <c r="M368">
        <v>0</v>
      </c>
      <c r="N368" t="s">
        <v>149</v>
      </c>
      <c r="O368" t="s">
        <v>149</v>
      </c>
      <c r="P368" t="s">
        <v>149</v>
      </c>
      <c r="Q368" t="s">
        <v>150</v>
      </c>
      <c r="R368" t="s">
        <v>150</v>
      </c>
      <c r="S368" t="s">
        <v>150</v>
      </c>
      <c r="T368">
        <v>9</v>
      </c>
      <c r="U368">
        <v>16</v>
      </c>
      <c r="V368">
        <v>15</v>
      </c>
      <c r="W368">
        <v>16</v>
      </c>
    </row>
    <row r="369" spans="1:23">
      <c r="A369">
        <v>197</v>
      </c>
      <c r="B369" t="s">
        <v>151</v>
      </c>
      <c r="C369" t="s">
        <v>162</v>
      </c>
      <c r="D369">
        <v>17</v>
      </c>
      <c r="E369" t="s">
        <v>40</v>
      </c>
      <c r="F369" t="s">
        <v>144</v>
      </c>
      <c r="G369" t="s">
        <v>145</v>
      </c>
      <c r="H369" t="s">
        <v>101</v>
      </c>
      <c r="I369" t="s">
        <v>101</v>
      </c>
      <c r="J369" t="s">
        <v>153</v>
      </c>
      <c r="K369" t="s">
        <v>160</v>
      </c>
      <c r="L369" t="s">
        <v>157</v>
      </c>
      <c r="M369">
        <v>0</v>
      </c>
      <c r="N369" t="s">
        <v>149</v>
      </c>
      <c r="O369" t="s">
        <v>149</v>
      </c>
      <c r="P369" t="s">
        <v>149</v>
      </c>
      <c r="Q369" t="s">
        <v>150</v>
      </c>
      <c r="R369" t="s">
        <v>150</v>
      </c>
      <c r="S369" t="s">
        <v>149</v>
      </c>
      <c r="T369">
        <v>4</v>
      </c>
      <c r="U369">
        <v>17</v>
      </c>
      <c r="V369">
        <v>15</v>
      </c>
      <c r="W369">
        <v>16</v>
      </c>
    </row>
    <row r="370" spans="1:23">
      <c r="A370">
        <v>116</v>
      </c>
      <c r="B370" t="s">
        <v>151</v>
      </c>
      <c r="C370" t="s">
        <v>162</v>
      </c>
      <c r="D370">
        <v>16</v>
      </c>
      <c r="E370" t="s">
        <v>40</v>
      </c>
      <c r="F370" t="s">
        <v>144</v>
      </c>
      <c r="G370" t="s">
        <v>145</v>
      </c>
      <c r="H370" t="s">
        <v>101</v>
      </c>
      <c r="I370" t="s">
        <v>101</v>
      </c>
      <c r="J370" t="s">
        <v>160</v>
      </c>
      <c r="K370" t="s">
        <v>160</v>
      </c>
      <c r="L370" t="s">
        <v>148</v>
      </c>
      <c r="M370">
        <v>0</v>
      </c>
      <c r="N370" t="s">
        <v>149</v>
      </c>
      <c r="O370" t="s">
        <v>149</v>
      </c>
      <c r="P370" t="s">
        <v>150</v>
      </c>
      <c r="Q370" t="s">
        <v>150</v>
      </c>
      <c r="R370" t="s">
        <v>150</v>
      </c>
      <c r="S370" t="s">
        <v>149</v>
      </c>
      <c r="T370">
        <v>2</v>
      </c>
      <c r="U370">
        <v>15</v>
      </c>
      <c r="V370">
        <v>15</v>
      </c>
      <c r="W370">
        <v>16</v>
      </c>
    </row>
    <row r="371" spans="1:23">
      <c r="A371">
        <v>392</v>
      </c>
      <c r="B371" t="s">
        <v>142</v>
      </c>
      <c r="C371" t="s">
        <v>162</v>
      </c>
      <c r="D371">
        <v>17</v>
      </c>
      <c r="E371" t="s">
        <v>40</v>
      </c>
      <c r="F371" t="s">
        <v>152</v>
      </c>
      <c r="G371" t="s">
        <v>145</v>
      </c>
      <c r="H371" t="s">
        <v>158</v>
      </c>
      <c r="I371" t="s">
        <v>146</v>
      </c>
      <c r="J371" t="s">
        <v>153</v>
      </c>
      <c r="K371" t="s">
        <v>153</v>
      </c>
      <c r="L371" t="s">
        <v>157</v>
      </c>
      <c r="M371">
        <v>0</v>
      </c>
      <c r="N371" t="s">
        <v>149</v>
      </c>
      <c r="O371" t="s">
        <v>149</v>
      </c>
      <c r="P371" t="s">
        <v>149</v>
      </c>
      <c r="Q371" t="s">
        <v>149</v>
      </c>
      <c r="R371" t="s">
        <v>150</v>
      </c>
      <c r="S371" t="s">
        <v>149</v>
      </c>
      <c r="T371">
        <v>3</v>
      </c>
      <c r="U371">
        <v>14</v>
      </c>
      <c r="V371">
        <v>16</v>
      </c>
      <c r="W371">
        <v>16</v>
      </c>
    </row>
    <row r="372" spans="1:23">
      <c r="A372">
        <v>327</v>
      </c>
      <c r="B372" t="s">
        <v>151</v>
      </c>
      <c r="C372" t="s">
        <v>162</v>
      </c>
      <c r="D372">
        <v>17</v>
      </c>
      <c r="E372" t="s">
        <v>40</v>
      </c>
      <c r="F372" t="s">
        <v>144</v>
      </c>
      <c r="G372" t="s">
        <v>145</v>
      </c>
      <c r="H372" t="s">
        <v>158</v>
      </c>
      <c r="I372" t="s">
        <v>158</v>
      </c>
      <c r="J372" t="s">
        <v>147</v>
      </c>
      <c r="K372" t="s">
        <v>153</v>
      </c>
      <c r="L372" t="s">
        <v>157</v>
      </c>
      <c r="M372">
        <v>0</v>
      </c>
      <c r="N372" t="s">
        <v>149</v>
      </c>
      <c r="O372" t="s">
        <v>149</v>
      </c>
      <c r="P372" t="s">
        <v>150</v>
      </c>
      <c r="Q372" t="s">
        <v>149</v>
      </c>
      <c r="R372" t="s">
        <v>150</v>
      </c>
      <c r="S372" t="s">
        <v>149</v>
      </c>
      <c r="T372">
        <v>3</v>
      </c>
      <c r="U372">
        <v>14</v>
      </c>
      <c r="V372">
        <v>15</v>
      </c>
      <c r="W372">
        <v>16</v>
      </c>
    </row>
    <row r="373" spans="1:23">
      <c r="A373">
        <v>223</v>
      </c>
      <c r="B373" t="s">
        <v>151</v>
      </c>
      <c r="C373" t="s">
        <v>143</v>
      </c>
      <c r="D373">
        <v>16</v>
      </c>
      <c r="E373" t="s">
        <v>40</v>
      </c>
      <c r="F373" t="s">
        <v>144</v>
      </c>
      <c r="G373" t="s">
        <v>145</v>
      </c>
      <c r="H373" t="s">
        <v>100</v>
      </c>
      <c r="I373" t="s">
        <v>158</v>
      </c>
      <c r="J373" t="s">
        <v>153</v>
      </c>
      <c r="K373" t="s">
        <v>160</v>
      </c>
      <c r="L373" t="s">
        <v>148</v>
      </c>
      <c r="M373">
        <v>0</v>
      </c>
      <c r="N373" t="s">
        <v>150</v>
      </c>
      <c r="O373" t="s">
        <v>149</v>
      </c>
      <c r="P373" t="s">
        <v>149</v>
      </c>
      <c r="Q373" t="s">
        <v>150</v>
      </c>
      <c r="R373" t="s">
        <v>150</v>
      </c>
      <c r="S373" t="s">
        <v>149</v>
      </c>
      <c r="T373">
        <v>2</v>
      </c>
      <c r="U373">
        <v>16</v>
      </c>
      <c r="V373">
        <v>16</v>
      </c>
      <c r="W373">
        <v>17</v>
      </c>
    </row>
    <row r="374" spans="1:23">
      <c r="A374">
        <v>183</v>
      </c>
      <c r="B374" t="s">
        <v>151</v>
      </c>
      <c r="C374" t="s">
        <v>143</v>
      </c>
      <c r="D374">
        <v>17</v>
      </c>
      <c r="E374" t="s">
        <v>40</v>
      </c>
      <c r="F374" t="s">
        <v>144</v>
      </c>
      <c r="G374" t="s">
        <v>145</v>
      </c>
      <c r="H374" t="s">
        <v>100</v>
      </c>
      <c r="I374" t="s">
        <v>101</v>
      </c>
      <c r="J374" t="s">
        <v>153</v>
      </c>
      <c r="K374" t="s">
        <v>153</v>
      </c>
      <c r="L374" t="s">
        <v>148</v>
      </c>
      <c r="M374">
        <v>0</v>
      </c>
      <c r="N374" t="s">
        <v>149</v>
      </c>
      <c r="O374" t="s">
        <v>149</v>
      </c>
      <c r="P374" t="s">
        <v>150</v>
      </c>
      <c r="Q374" t="s">
        <v>150</v>
      </c>
      <c r="R374" t="s">
        <v>149</v>
      </c>
      <c r="S374" t="s">
        <v>149</v>
      </c>
      <c r="T374">
        <v>0</v>
      </c>
      <c r="U374">
        <v>16</v>
      </c>
      <c r="V374">
        <v>17</v>
      </c>
      <c r="W374">
        <v>17</v>
      </c>
    </row>
    <row r="375" spans="1:23">
      <c r="A375">
        <v>339</v>
      </c>
      <c r="B375" t="s">
        <v>151</v>
      </c>
      <c r="C375" t="s">
        <v>143</v>
      </c>
      <c r="D375">
        <v>18</v>
      </c>
      <c r="E375" t="s">
        <v>40</v>
      </c>
      <c r="F375" t="s">
        <v>152</v>
      </c>
      <c r="G375" t="s">
        <v>145</v>
      </c>
      <c r="H375" t="s">
        <v>158</v>
      </c>
      <c r="I375" t="s">
        <v>158</v>
      </c>
      <c r="J375" t="s">
        <v>153</v>
      </c>
      <c r="K375" t="s">
        <v>153</v>
      </c>
      <c r="L375" t="s">
        <v>154</v>
      </c>
      <c r="M375">
        <v>0</v>
      </c>
      <c r="N375" t="s">
        <v>149</v>
      </c>
      <c r="O375" t="s">
        <v>149</v>
      </c>
      <c r="P375" t="s">
        <v>149</v>
      </c>
      <c r="Q375" t="s">
        <v>150</v>
      </c>
      <c r="R375" t="s">
        <v>150</v>
      </c>
      <c r="S375" t="s">
        <v>149</v>
      </c>
      <c r="T375">
        <v>7</v>
      </c>
      <c r="U375">
        <v>16</v>
      </c>
      <c r="V375">
        <v>15</v>
      </c>
      <c r="W375">
        <v>17</v>
      </c>
    </row>
    <row r="376" spans="1:23">
      <c r="A376">
        <v>32</v>
      </c>
      <c r="B376" t="s">
        <v>151</v>
      </c>
      <c r="C376" t="s">
        <v>162</v>
      </c>
      <c r="D376">
        <v>15</v>
      </c>
      <c r="E376" t="s">
        <v>40</v>
      </c>
      <c r="F376" t="s">
        <v>144</v>
      </c>
      <c r="G376" t="s">
        <v>145</v>
      </c>
      <c r="H376" t="s">
        <v>101</v>
      </c>
      <c r="I376" t="s">
        <v>101</v>
      </c>
      <c r="J376" t="s">
        <v>153</v>
      </c>
      <c r="K376" t="s">
        <v>153</v>
      </c>
      <c r="L376" t="s">
        <v>148</v>
      </c>
      <c r="M376">
        <v>0</v>
      </c>
      <c r="N376" t="s">
        <v>149</v>
      </c>
      <c r="O376" t="s">
        <v>149</v>
      </c>
      <c r="P376" t="s">
        <v>150</v>
      </c>
      <c r="Q376" t="s">
        <v>150</v>
      </c>
      <c r="R376" t="s">
        <v>150</v>
      </c>
      <c r="S376" t="s">
        <v>149</v>
      </c>
      <c r="T376">
        <v>0</v>
      </c>
      <c r="U376">
        <v>17</v>
      </c>
      <c r="V376">
        <v>16</v>
      </c>
      <c r="W376">
        <v>17</v>
      </c>
    </row>
    <row r="377" spans="1:23">
      <c r="A377">
        <v>102</v>
      </c>
      <c r="B377" t="s">
        <v>151</v>
      </c>
      <c r="C377" t="s">
        <v>162</v>
      </c>
      <c r="D377">
        <v>16</v>
      </c>
      <c r="E377" t="s">
        <v>40</v>
      </c>
      <c r="F377" t="s">
        <v>144</v>
      </c>
      <c r="G377" t="s">
        <v>145</v>
      </c>
      <c r="H377" t="s">
        <v>101</v>
      </c>
      <c r="I377" t="s">
        <v>101</v>
      </c>
      <c r="J377" t="s">
        <v>153</v>
      </c>
      <c r="K377" t="s">
        <v>160</v>
      </c>
      <c r="L377" t="s">
        <v>161</v>
      </c>
      <c r="M377">
        <v>0</v>
      </c>
      <c r="N377" t="s">
        <v>149</v>
      </c>
      <c r="O377" t="s">
        <v>149</v>
      </c>
      <c r="P377" t="s">
        <v>150</v>
      </c>
      <c r="Q377" t="s">
        <v>150</v>
      </c>
      <c r="R377" t="s">
        <v>150</v>
      </c>
      <c r="S377" t="s">
        <v>150</v>
      </c>
      <c r="T377">
        <v>0</v>
      </c>
      <c r="U377">
        <v>16</v>
      </c>
      <c r="V377">
        <v>17</v>
      </c>
      <c r="W377">
        <v>17</v>
      </c>
    </row>
    <row r="378" spans="1:23">
      <c r="A378">
        <v>266</v>
      </c>
      <c r="B378" t="s">
        <v>151</v>
      </c>
      <c r="C378" t="s">
        <v>162</v>
      </c>
      <c r="D378">
        <v>18</v>
      </c>
      <c r="E378" t="s">
        <v>41</v>
      </c>
      <c r="F378" t="s">
        <v>152</v>
      </c>
      <c r="G378" t="s">
        <v>155</v>
      </c>
      <c r="H378" t="s">
        <v>158</v>
      </c>
      <c r="I378" t="s">
        <v>101</v>
      </c>
      <c r="J378" t="s">
        <v>147</v>
      </c>
      <c r="K378" t="s">
        <v>147</v>
      </c>
      <c r="L378" t="s">
        <v>148</v>
      </c>
      <c r="M378">
        <v>0</v>
      </c>
      <c r="N378" t="s">
        <v>149</v>
      </c>
      <c r="O378" t="s">
        <v>150</v>
      </c>
      <c r="P378" t="s">
        <v>150</v>
      </c>
      <c r="Q378" t="s">
        <v>150</v>
      </c>
      <c r="R378" t="s">
        <v>150</v>
      </c>
      <c r="S378" t="s">
        <v>149</v>
      </c>
      <c r="T378">
        <v>13</v>
      </c>
      <c r="U378">
        <v>17</v>
      </c>
      <c r="V378">
        <v>17</v>
      </c>
      <c r="W378">
        <v>17</v>
      </c>
    </row>
    <row r="379" spans="1:23">
      <c r="A379">
        <v>261</v>
      </c>
      <c r="B379" t="s">
        <v>151</v>
      </c>
      <c r="C379" t="s">
        <v>143</v>
      </c>
      <c r="D379">
        <v>18</v>
      </c>
      <c r="E379" t="s">
        <v>40</v>
      </c>
      <c r="F379" t="s">
        <v>144</v>
      </c>
      <c r="G379" t="s">
        <v>145</v>
      </c>
      <c r="H379" t="s">
        <v>101</v>
      </c>
      <c r="I379" t="s">
        <v>158</v>
      </c>
      <c r="J379" t="s">
        <v>153</v>
      </c>
      <c r="K379" t="s">
        <v>147</v>
      </c>
      <c r="L379" t="s">
        <v>148</v>
      </c>
      <c r="M379">
        <v>0</v>
      </c>
      <c r="N379" t="s">
        <v>149</v>
      </c>
      <c r="O379" t="s">
        <v>150</v>
      </c>
      <c r="P379" t="s">
        <v>149</v>
      </c>
      <c r="Q379" t="s">
        <v>150</v>
      </c>
      <c r="R379" t="s">
        <v>150</v>
      </c>
      <c r="S379" t="s">
        <v>150</v>
      </c>
      <c r="T379">
        <v>21</v>
      </c>
      <c r="U379">
        <v>17</v>
      </c>
      <c r="V379">
        <v>18</v>
      </c>
      <c r="W379">
        <v>18</v>
      </c>
    </row>
    <row r="380" spans="1:23">
      <c r="A380">
        <v>294</v>
      </c>
      <c r="B380" t="s">
        <v>151</v>
      </c>
      <c r="C380" t="s">
        <v>143</v>
      </c>
      <c r="D380">
        <v>17</v>
      </c>
      <c r="E380" t="s">
        <v>41</v>
      </c>
      <c r="F380" t="s">
        <v>152</v>
      </c>
      <c r="G380" t="s">
        <v>145</v>
      </c>
      <c r="H380" t="s">
        <v>158</v>
      </c>
      <c r="I380" t="s">
        <v>146</v>
      </c>
      <c r="J380" t="s">
        <v>153</v>
      </c>
      <c r="K380" t="s">
        <v>147</v>
      </c>
      <c r="L380" t="s">
        <v>154</v>
      </c>
      <c r="M380">
        <v>0</v>
      </c>
      <c r="N380" t="s">
        <v>149</v>
      </c>
      <c r="O380" t="s">
        <v>150</v>
      </c>
      <c r="P380" t="s">
        <v>149</v>
      </c>
      <c r="Q380" t="s">
        <v>150</v>
      </c>
      <c r="R380" t="s">
        <v>149</v>
      </c>
      <c r="S380" t="s">
        <v>149</v>
      </c>
      <c r="T380">
        <v>6</v>
      </c>
      <c r="U380">
        <v>18</v>
      </c>
      <c r="V380">
        <v>18</v>
      </c>
      <c r="W380">
        <v>18</v>
      </c>
    </row>
    <row r="381" spans="1:23">
      <c r="A381">
        <v>304</v>
      </c>
      <c r="B381" t="s">
        <v>151</v>
      </c>
      <c r="C381" t="s">
        <v>143</v>
      </c>
      <c r="D381">
        <v>17</v>
      </c>
      <c r="E381" t="s">
        <v>40</v>
      </c>
      <c r="F381" t="s">
        <v>144</v>
      </c>
      <c r="G381" t="s">
        <v>145</v>
      </c>
      <c r="H381" t="s">
        <v>158</v>
      </c>
      <c r="I381" t="s">
        <v>100</v>
      </c>
      <c r="J381" t="s">
        <v>159</v>
      </c>
      <c r="K381" t="s">
        <v>159</v>
      </c>
      <c r="L381" t="s">
        <v>154</v>
      </c>
      <c r="M381">
        <v>0</v>
      </c>
      <c r="N381" t="s">
        <v>149</v>
      </c>
      <c r="O381" t="s">
        <v>150</v>
      </c>
      <c r="P381" t="s">
        <v>150</v>
      </c>
      <c r="Q381" t="s">
        <v>149</v>
      </c>
      <c r="R381" t="s">
        <v>150</v>
      </c>
      <c r="S381" t="s">
        <v>149</v>
      </c>
      <c r="T381">
        <v>0</v>
      </c>
      <c r="U381">
        <v>17</v>
      </c>
      <c r="V381">
        <v>17</v>
      </c>
      <c r="W381">
        <v>18</v>
      </c>
    </row>
    <row r="382" spans="1:23">
      <c r="A382">
        <v>199</v>
      </c>
      <c r="B382" t="s">
        <v>151</v>
      </c>
      <c r="C382" t="s">
        <v>143</v>
      </c>
      <c r="D382">
        <v>17</v>
      </c>
      <c r="E382" t="s">
        <v>40</v>
      </c>
      <c r="F382" t="s">
        <v>144</v>
      </c>
      <c r="G382" t="s">
        <v>145</v>
      </c>
      <c r="H382" t="s">
        <v>101</v>
      </c>
      <c r="I382" t="s">
        <v>101</v>
      </c>
      <c r="J382" t="s">
        <v>153</v>
      </c>
      <c r="K382" t="s">
        <v>160</v>
      </c>
      <c r="L382" t="s">
        <v>157</v>
      </c>
      <c r="M382">
        <v>1</v>
      </c>
      <c r="N382" t="s">
        <v>149</v>
      </c>
      <c r="O382" t="s">
        <v>149</v>
      </c>
      <c r="P382" t="s">
        <v>149</v>
      </c>
      <c r="Q382" t="s">
        <v>150</v>
      </c>
      <c r="R382" t="s">
        <v>150</v>
      </c>
      <c r="S382" t="s">
        <v>149</v>
      </c>
      <c r="T382">
        <v>24</v>
      </c>
      <c r="U382">
        <v>18</v>
      </c>
      <c r="V382">
        <v>18</v>
      </c>
      <c r="W382">
        <v>18</v>
      </c>
    </row>
    <row r="383" spans="1:23">
      <c r="A383">
        <v>92</v>
      </c>
      <c r="B383" t="s">
        <v>151</v>
      </c>
      <c r="C383" t="s">
        <v>143</v>
      </c>
      <c r="D383">
        <v>15</v>
      </c>
      <c r="E383" t="s">
        <v>40</v>
      </c>
      <c r="F383" t="s">
        <v>144</v>
      </c>
      <c r="G383" t="s">
        <v>145</v>
      </c>
      <c r="H383" t="s">
        <v>101</v>
      </c>
      <c r="I383" t="s">
        <v>158</v>
      </c>
      <c r="J383" t="s">
        <v>153</v>
      </c>
      <c r="K383" t="s">
        <v>147</v>
      </c>
      <c r="L383" t="s">
        <v>157</v>
      </c>
      <c r="M383">
        <v>0</v>
      </c>
      <c r="N383" t="s">
        <v>149</v>
      </c>
      <c r="O383" t="s">
        <v>150</v>
      </c>
      <c r="P383" t="s">
        <v>150</v>
      </c>
      <c r="Q383" t="s">
        <v>150</v>
      </c>
      <c r="R383" t="s">
        <v>150</v>
      </c>
      <c r="S383" t="s">
        <v>149</v>
      </c>
      <c r="T383">
        <v>4</v>
      </c>
      <c r="U383">
        <v>16</v>
      </c>
      <c r="V383">
        <v>17</v>
      </c>
      <c r="W383">
        <v>18</v>
      </c>
    </row>
    <row r="384" spans="1:23">
      <c r="A384">
        <v>246</v>
      </c>
      <c r="B384" t="s">
        <v>151</v>
      </c>
      <c r="C384" t="s">
        <v>162</v>
      </c>
      <c r="D384">
        <v>16</v>
      </c>
      <c r="E384" t="s">
        <v>40</v>
      </c>
      <c r="F384" t="s">
        <v>144</v>
      </c>
      <c r="G384" t="s">
        <v>145</v>
      </c>
      <c r="H384" t="s">
        <v>100</v>
      </c>
      <c r="I384" t="s">
        <v>146</v>
      </c>
      <c r="J384" t="s">
        <v>147</v>
      </c>
      <c r="K384" t="s">
        <v>147</v>
      </c>
      <c r="L384" t="s">
        <v>157</v>
      </c>
      <c r="M384">
        <v>0</v>
      </c>
      <c r="N384" t="s">
        <v>149</v>
      </c>
      <c r="O384" t="s">
        <v>149</v>
      </c>
      <c r="P384" t="s">
        <v>149</v>
      </c>
      <c r="Q384" t="s">
        <v>150</v>
      </c>
      <c r="R384" t="s">
        <v>150</v>
      </c>
      <c r="S384" t="s">
        <v>149</v>
      </c>
      <c r="T384">
        <v>6</v>
      </c>
      <c r="U384">
        <v>18</v>
      </c>
      <c r="V384">
        <v>18</v>
      </c>
      <c r="W384">
        <v>18</v>
      </c>
    </row>
    <row r="385" spans="1:29">
      <c r="A385">
        <v>43</v>
      </c>
      <c r="B385" t="s">
        <v>151</v>
      </c>
      <c r="C385" t="s">
        <v>162</v>
      </c>
      <c r="D385">
        <v>15</v>
      </c>
      <c r="E385" t="s">
        <v>40</v>
      </c>
      <c r="F385" t="s">
        <v>144</v>
      </c>
      <c r="G385" t="s">
        <v>145</v>
      </c>
      <c r="H385" t="s">
        <v>101</v>
      </c>
      <c r="I385" t="s">
        <v>101</v>
      </c>
      <c r="J385" t="s">
        <v>153</v>
      </c>
      <c r="K385" t="s">
        <v>160</v>
      </c>
      <c r="L385" t="s">
        <v>148</v>
      </c>
      <c r="M385">
        <v>0</v>
      </c>
      <c r="N385" t="s">
        <v>149</v>
      </c>
      <c r="O385" t="s">
        <v>149</v>
      </c>
      <c r="P385" t="s">
        <v>150</v>
      </c>
      <c r="Q385" t="s">
        <v>150</v>
      </c>
      <c r="R385" t="s">
        <v>150</v>
      </c>
      <c r="S385" t="s">
        <v>149</v>
      </c>
      <c r="T385">
        <v>2</v>
      </c>
      <c r="U385">
        <v>19</v>
      </c>
      <c r="V385">
        <v>18</v>
      </c>
      <c r="W385">
        <v>18</v>
      </c>
    </row>
    <row r="386" spans="1:29">
      <c r="A386">
        <v>37</v>
      </c>
      <c r="B386" t="s">
        <v>151</v>
      </c>
      <c r="C386" t="s">
        <v>162</v>
      </c>
      <c r="D386">
        <v>15</v>
      </c>
      <c r="E386" t="s">
        <v>40</v>
      </c>
      <c r="F386" t="s">
        <v>152</v>
      </c>
      <c r="G386" t="s">
        <v>145</v>
      </c>
      <c r="H386" t="s">
        <v>101</v>
      </c>
      <c r="I386" t="s">
        <v>158</v>
      </c>
      <c r="J386" t="s">
        <v>160</v>
      </c>
      <c r="K386" t="s">
        <v>153</v>
      </c>
      <c r="L386" t="s">
        <v>161</v>
      </c>
      <c r="M386">
        <v>0</v>
      </c>
      <c r="N386" t="s">
        <v>149</v>
      </c>
      <c r="O386" t="s">
        <v>149</v>
      </c>
      <c r="P386" t="s">
        <v>150</v>
      </c>
      <c r="Q386" t="s">
        <v>150</v>
      </c>
      <c r="R386" t="s">
        <v>150</v>
      </c>
      <c r="S386" t="s">
        <v>149</v>
      </c>
      <c r="T386">
        <v>2</v>
      </c>
      <c r="U386">
        <v>15</v>
      </c>
      <c r="V386">
        <v>16</v>
      </c>
      <c r="W386">
        <v>18</v>
      </c>
    </row>
    <row r="387" spans="1:29">
      <c r="A387">
        <v>108</v>
      </c>
      <c r="B387" t="s">
        <v>151</v>
      </c>
      <c r="C387" t="s">
        <v>162</v>
      </c>
      <c r="D387">
        <v>16</v>
      </c>
      <c r="E387" t="s">
        <v>40</v>
      </c>
      <c r="F387" t="s">
        <v>144</v>
      </c>
      <c r="G387" t="s">
        <v>145</v>
      </c>
      <c r="H387" t="s">
        <v>158</v>
      </c>
      <c r="I387" t="s">
        <v>158</v>
      </c>
      <c r="J387" t="s">
        <v>153</v>
      </c>
      <c r="K387" t="s">
        <v>147</v>
      </c>
      <c r="L387" t="s">
        <v>161</v>
      </c>
      <c r="M387">
        <v>0</v>
      </c>
      <c r="N387" t="s">
        <v>149</v>
      </c>
      <c r="O387" t="s">
        <v>149</v>
      </c>
      <c r="P387" t="s">
        <v>150</v>
      </c>
      <c r="Q387" t="s">
        <v>150</v>
      </c>
      <c r="R387" t="s">
        <v>150</v>
      </c>
      <c r="S387" t="s">
        <v>149</v>
      </c>
      <c r="T387">
        <v>2</v>
      </c>
      <c r="U387">
        <v>16</v>
      </c>
      <c r="V387">
        <v>18</v>
      </c>
      <c r="W387">
        <v>18</v>
      </c>
    </row>
    <row r="388" spans="1:29">
      <c r="A388">
        <v>307</v>
      </c>
      <c r="B388" t="s">
        <v>151</v>
      </c>
      <c r="C388" t="s">
        <v>162</v>
      </c>
      <c r="D388">
        <v>20</v>
      </c>
      <c r="E388" t="s">
        <v>40</v>
      </c>
      <c r="F388" t="s">
        <v>144</v>
      </c>
      <c r="G388" t="s">
        <v>155</v>
      </c>
      <c r="H388" t="s">
        <v>158</v>
      </c>
      <c r="I388" t="s">
        <v>100</v>
      </c>
      <c r="J388" t="s">
        <v>153</v>
      </c>
      <c r="K388" t="s">
        <v>147</v>
      </c>
      <c r="L388" t="s">
        <v>157</v>
      </c>
      <c r="M388">
        <v>0</v>
      </c>
      <c r="N388" t="s">
        <v>149</v>
      </c>
      <c r="O388" t="s">
        <v>149</v>
      </c>
      <c r="P388" t="s">
        <v>150</v>
      </c>
      <c r="Q388" t="s">
        <v>150</v>
      </c>
      <c r="R388" t="s">
        <v>149</v>
      </c>
      <c r="S388" t="s">
        <v>149</v>
      </c>
      <c r="T388">
        <v>0</v>
      </c>
      <c r="U388">
        <v>17</v>
      </c>
      <c r="V388">
        <v>18</v>
      </c>
      <c r="W388">
        <v>18</v>
      </c>
    </row>
    <row r="389" spans="1:29">
      <c r="A389">
        <v>105</v>
      </c>
      <c r="B389" t="s">
        <v>151</v>
      </c>
      <c r="C389" t="s">
        <v>162</v>
      </c>
      <c r="D389">
        <v>15</v>
      </c>
      <c r="E389" t="s">
        <v>40</v>
      </c>
      <c r="F389" t="s">
        <v>144</v>
      </c>
      <c r="G389" t="s">
        <v>155</v>
      </c>
      <c r="H389" t="s">
        <v>158</v>
      </c>
      <c r="I389" t="s">
        <v>101</v>
      </c>
      <c r="J389" t="s">
        <v>153</v>
      </c>
      <c r="K389" t="s">
        <v>147</v>
      </c>
      <c r="L389" t="s">
        <v>148</v>
      </c>
      <c r="M389">
        <v>0</v>
      </c>
      <c r="N389" t="s">
        <v>149</v>
      </c>
      <c r="O389" t="s">
        <v>150</v>
      </c>
      <c r="P389" t="s">
        <v>150</v>
      </c>
      <c r="Q389" t="s">
        <v>150</v>
      </c>
      <c r="R389" t="s">
        <v>150</v>
      </c>
      <c r="S389" t="s">
        <v>149</v>
      </c>
      <c r="T389">
        <v>0</v>
      </c>
      <c r="U389">
        <v>16</v>
      </c>
      <c r="V389">
        <v>18</v>
      </c>
      <c r="W389">
        <v>18</v>
      </c>
    </row>
    <row r="390" spans="1:29">
      <c r="A390">
        <v>130</v>
      </c>
      <c r="B390" t="s">
        <v>151</v>
      </c>
      <c r="C390" t="s">
        <v>162</v>
      </c>
      <c r="D390">
        <v>16</v>
      </c>
      <c r="E390" t="s">
        <v>41</v>
      </c>
      <c r="F390" t="s">
        <v>144</v>
      </c>
      <c r="G390" t="s">
        <v>145</v>
      </c>
      <c r="H390" t="s">
        <v>101</v>
      </c>
      <c r="I390" t="s">
        <v>101</v>
      </c>
      <c r="J390" t="s">
        <v>160</v>
      </c>
      <c r="K390" t="s">
        <v>160</v>
      </c>
      <c r="L390" t="s">
        <v>157</v>
      </c>
      <c r="M390">
        <v>0</v>
      </c>
      <c r="N390" t="s">
        <v>149</v>
      </c>
      <c r="O390" t="s">
        <v>150</v>
      </c>
      <c r="P390" t="s">
        <v>150</v>
      </c>
      <c r="Q390" t="s">
        <v>150</v>
      </c>
      <c r="R390" t="s">
        <v>150</v>
      </c>
      <c r="S390" t="s">
        <v>149</v>
      </c>
      <c r="T390">
        <v>8</v>
      </c>
      <c r="U390">
        <v>18</v>
      </c>
      <c r="V390">
        <v>18</v>
      </c>
      <c r="W390">
        <v>18</v>
      </c>
    </row>
    <row r="391" spans="1:29">
      <c r="A391">
        <v>287</v>
      </c>
      <c r="B391" t="s">
        <v>151</v>
      </c>
      <c r="C391" t="s">
        <v>143</v>
      </c>
      <c r="D391">
        <v>18</v>
      </c>
      <c r="E391" t="s">
        <v>40</v>
      </c>
      <c r="F391" t="s">
        <v>144</v>
      </c>
      <c r="G391" t="s">
        <v>145</v>
      </c>
      <c r="H391" t="s">
        <v>100</v>
      </c>
      <c r="I391" t="s">
        <v>100</v>
      </c>
      <c r="J391" t="s">
        <v>156</v>
      </c>
      <c r="K391" t="s">
        <v>156</v>
      </c>
      <c r="L391" t="s">
        <v>161</v>
      </c>
      <c r="M391">
        <v>0</v>
      </c>
      <c r="N391" t="s">
        <v>149</v>
      </c>
      <c r="O391" t="s">
        <v>150</v>
      </c>
      <c r="P391" t="s">
        <v>149</v>
      </c>
      <c r="Q391" t="s">
        <v>150</v>
      </c>
      <c r="R391" t="s">
        <v>150</v>
      </c>
      <c r="S391" t="s">
        <v>149</v>
      </c>
      <c r="T391">
        <v>5</v>
      </c>
      <c r="U391">
        <v>18</v>
      </c>
      <c r="V391">
        <v>18</v>
      </c>
      <c r="W391">
        <v>19</v>
      </c>
    </row>
    <row r="392" spans="1:29">
      <c r="A392">
        <v>375</v>
      </c>
      <c r="B392" t="s">
        <v>142</v>
      </c>
      <c r="C392" t="s">
        <v>143</v>
      </c>
      <c r="D392">
        <v>18</v>
      </c>
      <c r="E392" t="s">
        <v>41</v>
      </c>
      <c r="F392" t="s">
        <v>152</v>
      </c>
      <c r="G392" t="s">
        <v>145</v>
      </c>
      <c r="H392" t="s">
        <v>101</v>
      </c>
      <c r="I392" t="s">
        <v>101</v>
      </c>
      <c r="J392" t="s">
        <v>147</v>
      </c>
      <c r="K392" t="s">
        <v>147</v>
      </c>
      <c r="L392" t="s">
        <v>161</v>
      </c>
      <c r="M392">
        <v>0</v>
      </c>
      <c r="N392" t="s">
        <v>149</v>
      </c>
      <c r="O392" t="s">
        <v>149</v>
      </c>
      <c r="P392" t="s">
        <v>149</v>
      </c>
      <c r="Q392" t="s">
        <v>150</v>
      </c>
      <c r="R392" t="s">
        <v>150</v>
      </c>
      <c r="S392" t="s">
        <v>149</v>
      </c>
      <c r="T392">
        <v>0</v>
      </c>
      <c r="U392">
        <v>19</v>
      </c>
      <c r="V392">
        <v>18</v>
      </c>
      <c r="W392">
        <v>19</v>
      </c>
    </row>
    <row r="393" spans="1:29">
      <c r="A393">
        <v>114</v>
      </c>
      <c r="B393" t="s">
        <v>151</v>
      </c>
      <c r="C393" t="s">
        <v>162</v>
      </c>
      <c r="D393">
        <v>15</v>
      </c>
      <c r="E393" t="s">
        <v>40</v>
      </c>
      <c r="F393" t="s">
        <v>152</v>
      </c>
      <c r="G393" t="s">
        <v>145</v>
      </c>
      <c r="H393" t="s">
        <v>101</v>
      </c>
      <c r="I393" t="s">
        <v>100</v>
      </c>
      <c r="J393" t="s">
        <v>160</v>
      </c>
      <c r="K393" t="s">
        <v>147</v>
      </c>
      <c r="L393" t="s">
        <v>157</v>
      </c>
      <c r="M393">
        <v>0</v>
      </c>
      <c r="N393" t="s">
        <v>149</v>
      </c>
      <c r="O393" t="s">
        <v>149</v>
      </c>
      <c r="P393" t="s">
        <v>149</v>
      </c>
      <c r="Q393" t="s">
        <v>150</v>
      </c>
      <c r="R393" t="s">
        <v>150</v>
      </c>
      <c r="S393" t="s">
        <v>149</v>
      </c>
      <c r="T393">
        <v>10</v>
      </c>
      <c r="U393">
        <v>18</v>
      </c>
      <c r="V393">
        <v>19</v>
      </c>
      <c r="W393">
        <v>19</v>
      </c>
    </row>
    <row r="394" spans="1:29">
      <c r="A394">
        <v>9</v>
      </c>
      <c r="B394" t="s">
        <v>151</v>
      </c>
      <c r="C394" t="s">
        <v>162</v>
      </c>
      <c r="D394">
        <v>15</v>
      </c>
      <c r="E394" t="s">
        <v>40</v>
      </c>
      <c r="F394" t="s">
        <v>152</v>
      </c>
      <c r="G394" t="s">
        <v>155</v>
      </c>
      <c r="H394" t="s">
        <v>158</v>
      </c>
      <c r="I394" t="s">
        <v>100</v>
      </c>
      <c r="J394" t="s">
        <v>153</v>
      </c>
      <c r="K394" t="s">
        <v>147</v>
      </c>
      <c r="L394" t="s">
        <v>148</v>
      </c>
      <c r="M394">
        <v>0</v>
      </c>
      <c r="N394" t="s">
        <v>149</v>
      </c>
      <c r="O394" t="s">
        <v>150</v>
      </c>
      <c r="P394" t="s">
        <v>149</v>
      </c>
      <c r="Q394" t="s">
        <v>150</v>
      </c>
      <c r="R394" t="s">
        <v>150</v>
      </c>
      <c r="S394" t="s">
        <v>149</v>
      </c>
      <c r="T394">
        <v>0</v>
      </c>
      <c r="U394">
        <v>16</v>
      </c>
      <c r="V394">
        <v>18</v>
      </c>
      <c r="W394">
        <v>19</v>
      </c>
    </row>
    <row r="395" spans="1:29">
      <c r="A395">
        <v>111</v>
      </c>
      <c r="B395" t="s">
        <v>151</v>
      </c>
      <c r="C395" t="s">
        <v>162</v>
      </c>
      <c r="D395">
        <v>15</v>
      </c>
      <c r="E395" t="s">
        <v>40</v>
      </c>
      <c r="F395" t="s">
        <v>152</v>
      </c>
      <c r="G395" t="s">
        <v>155</v>
      </c>
      <c r="H395" t="s">
        <v>101</v>
      </c>
      <c r="I395" t="s">
        <v>101</v>
      </c>
      <c r="J395" t="s">
        <v>160</v>
      </c>
      <c r="K395" t="s">
        <v>160</v>
      </c>
      <c r="L395" t="s">
        <v>157</v>
      </c>
      <c r="M395">
        <v>0</v>
      </c>
      <c r="N395" t="s">
        <v>149</v>
      </c>
      <c r="O395" t="s">
        <v>149</v>
      </c>
      <c r="P395" t="s">
        <v>150</v>
      </c>
      <c r="Q395" t="s">
        <v>150</v>
      </c>
      <c r="R395" t="s">
        <v>150</v>
      </c>
      <c r="S395" t="s">
        <v>149</v>
      </c>
      <c r="T395">
        <v>6</v>
      </c>
      <c r="U395">
        <v>18</v>
      </c>
      <c r="V395">
        <v>19</v>
      </c>
      <c r="W395">
        <v>19</v>
      </c>
    </row>
    <row r="396" spans="1:29">
      <c r="A396">
        <v>48</v>
      </c>
      <c r="B396" t="s">
        <v>151</v>
      </c>
      <c r="C396" t="s">
        <v>162</v>
      </c>
      <c r="D396">
        <v>16</v>
      </c>
      <c r="E396" t="s">
        <v>40</v>
      </c>
      <c r="F396" t="s">
        <v>144</v>
      </c>
      <c r="G396" t="s">
        <v>145</v>
      </c>
      <c r="H396" t="s">
        <v>101</v>
      </c>
      <c r="I396" t="s">
        <v>158</v>
      </c>
      <c r="J396" t="s">
        <v>159</v>
      </c>
      <c r="K396" t="s">
        <v>153</v>
      </c>
      <c r="L396" t="s">
        <v>154</v>
      </c>
      <c r="M396">
        <v>0</v>
      </c>
      <c r="N396" t="s">
        <v>149</v>
      </c>
      <c r="O396" t="s">
        <v>149</v>
      </c>
      <c r="P396" t="s">
        <v>150</v>
      </c>
      <c r="Q396" t="s">
        <v>150</v>
      </c>
      <c r="R396" t="s">
        <v>150</v>
      </c>
      <c r="S396" t="s">
        <v>149</v>
      </c>
      <c r="T396">
        <v>4</v>
      </c>
      <c r="U396">
        <v>19</v>
      </c>
      <c r="V396">
        <v>19</v>
      </c>
      <c r="W396">
        <v>20</v>
      </c>
    </row>
    <row r="397" spans="1:29"/>
    <row r="398" spans="1:29"/>
    <row r="399" spans="1:29">
      <c r="O399" s="11"/>
      <c r="P399" s="11"/>
      <c r="Q399" s="11"/>
      <c r="R399" s="11"/>
      <c r="S399" s="11"/>
      <c r="T399" s="11"/>
      <c r="U399" s="11"/>
    </row>
    <row r="400" spans="1:29">
      <c r="L400" s="3"/>
      <c r="M400" s="3"/>
      <c r="S400" s="3"/>
      <c r="T400" s="3"/>
      <c r="U400" s="3"/>
      <c r="AA400" s="3"/>
      <c r="AB400" s="3"/>
      <c r="AC400" s="3"/>
    </row>
    <row r="401" spans="1:29">
      <c r="L401" s="3"/>
      <c r="M401" s="3"/>
      <c r="S401" s="3"/>
      <c r="T401" s="3"/>
      <c r="U401" s="3"/>
      <c r="AA401" s="3"/>
      <c r="AB401" s="3"/>
      <c r="AC401" s="3"/>
    </row>
    <row r="402" spans="1:29">
      <c r="A402" s="9"/>
      <c r="L402" s="3"/>
      <c r="M402" s="3"/>
      <c r="S402" s="3"/>
      <c r="T402" s="3"/>
      <c r="U402" s="3"/>
      <c r="AA402" s="3"/>
      <c r="AB402" s="3"/>
      <c r="AC402" s="3"/>
    </row>
    <row r="403" spans="1:29">
      <c r="L403" s="3"/>
      <c r="M403" s="3"/>
      <c r="S403" s="3"/>
      <c r="T403" s="3"/>
      <c r="U403" s="3"/>
      <c r="AA403" s="3"/>
      <c r="AB403" s="3"/>
      <c r="AC403" s="3"/>
    </row>
    <row r="404" spans="1:29">
      <c r="L404" s="3"/>
      <c r="M404" s="3"/>
      <c r="S404" s="3"/>
      <c r="T404" s="3"/>
      <c r="U404" s="3"/>
      <c r="AA404" s="3"/>
      <c r="AB404" s="3"/>
      <c r="AC404" s="3"/>
    </row>
    <row r="405" spans="1:29">
      <c r="L405" s="3"/>
      <c r="M405" s="3"/>
      <c r="S405" s="3"/>
      <c r="T405" s="3"/>
      <c r="U405" s="3"/>
    </row>
    <row r="406" spans="1:29">
      <c r="Z406" s="3"/>
    </row>
    <row r="407" spans="1:29">
      <c r="Z407" s="3"/>
      <c r="AA407" s="3"/>
    </row>
    <row r="408" spans="1:29">
      <c r="O408" s="1"/>
      <c r="P408" s="2"/>
      <c r="Q408" s="2"/>
      <c r="R408" s="2"/>
      <c r="S408" s="2"/>
      <c r="T408" s="4"/>
      <c r="U408" s="8"/>
      <c r="AA408" s="3"/>
      <c r="AB408" s="3"/>
      <c r="AC408" s="3"/>
    </row>
    <row r="409" spans="1:29">
      <c r="L409" s="3"/>
      <c r="M409" s="3"/>
      <c r="S409" s="3"/>
      <c r="T409" s="3"/>
      <c r="U409" s="3"/>
      <c r="AA409" s="3"/>
      <c r="AB409" s="3"/>
      <c r="AC409" s="3"/>
    </row>
    <row r="410" spans="1:29">
      <c r="L410" s="3"/>
      <c r="M410" s="3"/>
      <c r="S410" s="3"/>
      <c r="T410" s="3"/>
      <c r="U410" s="3"/>
      <c r="AA410" s="3"/>
      <c r="AB410" s="3"/>
      <c r="AC410" s="3"/>
    </row>
    <row r="411" spans="1:29">
      <c r="L411" s="3"/>
      <c r="M411" s="3"/>
      <c r="S411" s="3"/>
      <c r="T411" s="3"/>
      <c r="U411" s="3"/>
      <c r="AA411" s="3"/>
      <c r="AB411" s="3"/>
      <c r="AC411" s="3"/>
    </row>
    <row r="412" spans="1:29">
      <c r="L412" s="3"/>
      <c r="M412" s="3"/>
      <c r="S412" s="3"/>
      <c r="T412" s="3"/>
      <c r="U412" s="3"/>
      <c r="AA412" s="3"/>
      <c r="AB412" s="3"/>
      <c r="AC412" s="3"/>
    </row>
    <row r="413" spans="1:29">
      <c r="L413" s="3"/>
      <c r="M413" s="3"/>
      <c r="S413" s="3"/>
      <c r="T413" s="3"/>
      <c r="U413" s="3"/>
    </row>
    <row r="414" spans="1:29">
      <c r="L414" s="3"/>
      <c r="M414" s="3"/>
      <c r="S414" s="3"/>
      <c r="T414" s="3"/>
      <c r="U414" s="3"/>
    </row>
    <row r="415" spans="1:29"/>
    <row r="416" spans="1:29"/>
    <row r="417" spans="12:22"/>
    <row r="418" spans="12:22">
      <c r="L418" s="3"/>
      <c r="M418" s="3"/>
      <c r="N418" s="3"/>
    </row>
    <row r="419" spans="12:22">
      <c r="L419" s="3"/>
      <c r="M419" s="3"/>
      <c r="N419" s="3"/>
      <c r="T419" s="3"/>
      <c r="U419" s="3"/>
      <c r="V419" s="3"/>
    </row>
    <row r="420" spans="12:22">
      <c r="L420" s="3"/>
      <c r="M420" s="3"/>
      <c r="N420" s="3"/>
      <c r="T420" s="3"/>
      <c r="U420" s="3"/>
      <c r="V420" s="3"/>
    </row>
    <row r="421" spans="12:22">
      <c r="L421" s="3"/>
      <c r="M421" s="3"/>
      <c r="N421" s="3"/>
      <c r="T421" s="3"/>
      <c r="U421" s="3"/>
      <c r="V421" s="3"/>
    </row>
    <row r="422" spans="12:22">
      <c r="L422" s="3"/>
      <c r="M422" s="3"/>
      <c r="N422" s="3"/>
      <c r="T422" s="3"/>
      <c r="U422" s="3"/>
      <c r="V422" s="3"/>
    </row>
    <row r="423" spans="12:22">
      <c r="L423" s="3"/>
      <c r="M423" s="3"/>
      <c r="N423" s="3"/>
      <c r="T423" s="3"/>
      <c r="U423" s="3"/>
      <c r="V423" s="3"/>
    </row>
    <row r="424" spans="12:22">
      <c r="L424" s="3"/>
      <c r="M424" s="3"/>
      <c r="N424" s="3"/>
      <c r="T424" s="3"/>
      <c r="U424" s="3"/>
      <c r="V424" s="3"/>
    </row>
    <row r="425" spans="12:22">
      <c r="L425" s="3"/>
      <c r="M425" s="3"/>
      <c r="N425" s="3"/>
      <c r="T425" s="3"/>
      <c r="U425" s="3"/>
      <c r="V425" s="3"/>
    </row>
    <row r="426" spans="12:22">
      <c r="L426" s="3"/>
      <c r="M426" s="3"/>
      <c r="N426" s="3"/>
      <c r="T426" s="3"/>
      <c r="U426" s="3"/>
      <c r="V426" s="3"/>
    </row>
    <row r="427" spans="12:22">
      <c r="L427" s="3"/>
      <c r="M427" s="3"/>
      <c r="N427" s="3"/>
      <c r="T427" s="3"/>
      <c r="U427" s="3"/>
      <c r="V427" s="3"/>
    </row>
    <row r="428" spans="12:22">
      <c r="L428" s="3"/>
      <c r="M428" s="3"/>
      <c r="N428" s="3"/>
      <c r="T428" s="3"/>
      <c r="U428" s="3"/>
      <c r="V428" s="3"/>
    </row>
    <row r="429" spans="12:22">
      <c r="L429" s="3"/>
      <c r="M429" s="3"/>
      <c r="N429" s="3"/>
      <c r="T429" s="3"/>
      <c r="U429" s="3"/>
      <c r="V429" s="3"/>
    </row>
    <row r="430" spans="12:22">
      <c r="L430" s="3"/>
      <c r="M430" s="3"/>
      <c r="N430" s="3"/>
      <c r="T430" s="3"/>
      <c r="U430" s="3"/>
      <c r="V430" s="3"/>
    </row>
    <row r="431" spans="12:22">
      <c r="L431" s="3"/>
      <c r="M431" s="3"/>
      <c r="N431" s="3"/>
      <c r="T431" s="3"/>
      <c r="U431" s="3"/>
      <c r="V431" s="3"/>
    </row>
    <row r="432" spans="12:22">
      <c r="L432" s="3"/>
      <c r="M432" s="3"/>
      <c r="N432" s="3"/>
      <c r="T432" s="3"/>
      <c r="U432" s="3"/>
      <c r="V432" s="3"/>
    </row>
    <row r="433" spans="1:22">
      <c r="L433" s="3"/>
      <c r="M433" s="3"/>
      <c r="N433" s="3"/>
      <c r="T433" s="3"/>
      <c r="U433" s="3"/>
      <c r="V433" s="3"/>
    </row>
    <row r="434" spans="1:22">
      <c r="L434" s="3"/>
      <c r="M434" s="3"/>
      <c r="N434" s="3"/>
      <c r="T434" s="3"/>
      <c r="U434" s="3"/>
      <c r="V434" s="3"/>
    </row>
    <row r="435" spans="1:22">
      <c r="L435" s="3"/>
      <c r="M435" s="3"/>
      <c r="N435" s="3"/>
      <c r="T435" s="3"/>
      <c r="U435" s="3"/>
      <c r="V435" s="3"/>
    </row>
    <row r="436" spans="1:22">
      <c r="L436" s="3"/>
      <c r="M436" s="3"/>
      <c r="N436" s="3"/>
      <c r="T436" s="3"/>
      <c r="U436" s="3"/>
      <c r="V436" s="3"/>
    </row>
    <row r="437" spans="1:22">
      <c r="L437" s="3"/>
      <c r="M437" s="3"/>
      <c r="N437" s="3"/>
      <c r="T437" s="3"/>
      <c r="U437" s="3"/>
      <c r="V437" s="3"/>
    </row>
    <row r="438" spans="1:22">
      <c r="T438" s="3"/>
      <c r="U438" s="3"/>
      <c r="V438" s="3"/>
    </row>
    <row r="439" spans="1:22">
      <c r="L439" s="3"/>
      <c r="M439" s="3"/>
      <c r="N439" s="3"/>
      <c r="T439" s="3"/>
      <c r="U439" s="3"/>
      <c r="V439" s="3"/>
    </row>
    <row r="440" spans="1:22">
      <c r="L440" s="3"/>
      <c r="M440" s="3"/>
      <c r="N440" s="3"/>
      <c r="T440" s="3"/>
      <c r="U440" s="3"/>
      <c r="V440" s="3"/>
    </row>
    <row r="441" spans="1:22">
      <c r="T441" s="3"/>
      <c r="U441" s="3"/>
      <c r="V441" s="3"/>
    </row>
    <row r="442" spans="1:22">
      <c r="T442" s="3"/>
      <c r="U442" s="3"/>
      <c r="V442" s="3"/>
    </row>
    <row r="443" spans="1:22">
      <c r="T443" s="3"/>
      <c r="U443" s="3"/>
      <c r="V443" s="3"/>
    </row>
    <row r="444" spans="1:22">
      <c r="T444" s="3"/>
      <c r="U444" s="3"/>
      <c r="V444" s="3"/>
    </row>
    <row r="445" spans="1:22"/>
    <row r="446" spans="1:22"/>
    <row r="447" spans="1:22">
      <c r="A447" s="10"/>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Aleksander White</dc:creator>
  <cp:keywords/>
  <dc:description/>
  <cp:lastModifiedBy>Aleksander White</cp:lastModifiedBy>
  <cp:revision/>
  <dcterms:created xsi:type="dcterms:W3CDTF">2023-12-03T16:59:56Z</dcterms:created>
  <dcterms:modified xsi:type="dcterms:W3CDTF">2024-01-25T03:29:25Z</dcterms:modified>
  <cp:category/>
  <cp:contentStatus/>
</cp:coreProperties>
</file>