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filterPrivacy="1" codeName="ThisWorkbook"/>
  <xr:revisionPtr revIDLastSave="0" documentId="8_{8A995588-9F1A-024C-8C0B-5B962A89DEC6}" xr6:coauthVersionLast="47" xr6:coauthVersionMax="47" xr10:uidLastSave="{00000000-0000-0000-0000-000000000000}"/>
  <bookViews>
    <workbookView xWindow="2100" yWindow="1160" windowWidth="17380" windowHeight="14840" activeTab="4" xr2:uid="{00000000-000D-0000-FFFF-FFFF00000000}"/>
  </bookViews>
  <sheets>
    <sheet name="Data Dictionary" sheetId="5" r:id="rId1"/>
    <sheet name="Revenue" sheetId="6" r:id="rId2"/>
    <sheet name="Expense" sheetId="11" r:id="rId3"/>
    <sheet name="Sheet2" sheetId="15" r:id="rId4"/>
    <sheet name="Expense-revenue projection" sheetId="16" r:id="rId5"/>
  </sheets>
  <definedNames>
    <definedName name="solver_adj" localSheetId="4" hidden="1">'Expense-revenue projection'!$L$45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opt" localSheetId="4" hidden="1">'Expense-revenue projection'!$M$55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445898965.64</definedName>
    <definedName name="solver_ver" localSheetId="4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6" l="1"/>
  <c r="O67" i="16"/>
  <c r="P67" i="16"/>
  <c r="Q67" i="16"/>
  <c r="R67" i="16"/>
  <c r="S67" i="16"/>
  <c r="T67" i="16"/>
  <c r="U67" i="16"/>
  <c r="V66" i="16"/>
  <c r="V61" i="16"/>
  <c r="V62" i="16"/>
  <c r="V63" i="16"/>
  <c r="V64" i="16"/>
  <c r="V65" i="16"/>
  <c r="V60" i="16"/>
  <c r="M67" i="16"/>
  <c r="W30" i="16"/>
  <c r="V30" i="16"/>
  <c r="U30" i="16"/>
  <c r="T30" i="16"/>
  <c r="S30" i="16"/>
  <c r="R30" i="16"/>
  <c r="Q30" i="16"/>
  <c r="P30" i="16"/>
  <c r="O30" i="16"/>
  <c r="N30" i="16"/>
  <c r="M30" i="16"/>
  <c r="M18" i="16"/>
  <c r="M19" i="16" s="1"/>
  <c r="M20" i="16" s="1"/>
  <c r="N18" i="16"/>
  <c r="N19" i="16" s="1"/>
  <c r="O18" i="16"/>
  <c r="O19" i="16" s="1"/>
  <c r="P18" i="16"/>
  <c r="P19" i="16" s="1"/>
  <c r="P31" i="16" s="1"/>
  <c r="P32" i="16" s="1"/>
  <c r="Q18" i="16"/>
  <c r="Q19" i="16" s="1"/>
  <c r="Q31" i="16" s="1"/>
  <c r="Q49" i="16" s="1"/>
  <c r="R18" i="16"/>
  <c r="R19" i="16" s="1"/>
  <c r="R31" i="16" s="1"/>
  <c r="S18" i="16"/>
  <c r="S19" i="16" s="1"/>
  <c r="S31" i="16" s="1"/>
  <c r="S49" i="16" s="1"/>
  <c r="T18" i="16"/>
  <c r="T19" i="16" s="1"/>
  <c r="T31" i="16" s="1"/>
  <c r="U18" i="16"/>
  <c r="U19" i="16" s="1"/>
  <c r="U31" i="16" s="1"/>
  <c r="U49" i="16" s="1"/>
  <c r="V18" i="16"/>
  <c r="V19" i="16" s="1"/>
  <c r="V31" i="16" s="1"/>
  <c r="W18" i="16"/>
  <c r="W19" i="16" s="1"/>
  <c r="W31" i="16" s="1"/>
  <c r="W49" i="16" s="1"/>
  <c r="W50" i="16"/>
  <c r="M52" i="16"/>
  <c r="H33" i="15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B33" i="15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K3" i="15"/>
  <c r="K4" i="15"/>
  <c r="K5" i="15"/>
  <c r="K6" i="15"/>
  <c r="K7" i="15"/>
  <c r="K8" i="15"/>
  <c r="K9" i="15"/>
  <c r="K10" i="15"/>
  <c r="K11" i="15"/>
  <c r="K12" i="15"/>
  <c r="K13" i="15"/>
  <c r="K2" i="15"/>
  <c r="H2" i="15" s="1"/>
  <c r="E2" i="15"/>
  <c r="E3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D74" i="15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C59" i="15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D59" i="15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E59" i="15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B74" i="15"/>
  <c r="F74" i="15" s="1"/>
  <c r="B59" i="15"/>
  <c r="B60" i="15" s="1"/>
  <c r="G60" i="15" s="1"/>
  <c r="F36" i="11"/>
  <c r="G36" i="11"/>
  <c r="H36" i="11"/>
  <c r="I36" i="11"/>
  <c r="J36" i="11"/>
  <c r="K36" i="11"/>
  <c r="L36" i="11"/>
  <c r="M36" i="11"/>
  <c r="N36" i="11"/>
  <c r="O36" i="11"/>
  <c r="P36" i="11"/>
  <c r="Q36" i="11"/>
  <c r="D36" i="11"/>
  <c r="E36" i="11"/>
  <c r="C36" i="11"/>
  <c r="O20" i="16" l="1"/>
  <c r="O31" i="16"/>
  <c r="N31" i="16"/>
  <c r="N32" i="16" s="1"/>
  <c r="N20" i="16"/>
  <c r="R49" i="16"/>
  <c r="V49" i="16"/>
  <c r="P49" i="16"/>
  <c r="T49" i="16"/>
  <c r="M31" i="16"/>
  <c r="M32" i="16" s="1"/>
  <c r="M21" i="16"/>
  <c r="M49" i="16"/>
  <c r="G59" i="15"/>
  <c r="H59" i="15" s="1"/>
  <c r="I59" i="15" s="1"/>
  <c r="G74" i="15"/>
  <c r="F3" i="15"/>
  <c r="G3" i="15" s="1"/>
  <c r="H3" i="15" s="1"/>
  <c r="E4" i="15"/>
  <c r="B61" i="15"/>
  <c r="G61" i="15" s="1"/>
  <c r="H60" i="15"/>
  <c r="I60" i="15" s="1"/>
  <c r="B75" i="15"/>
  <c r="N49" i="16" l="1"/>
  <c r="O32" i="16"/>
  <c r="M33" i="16" s="1"/>
  <c r="M35" i="16" s="1"/>
  <c r="S50" i="16" s="1"/>
  <c r="O49" i="16"/>
  <c r="R50" i="16"/>
  <c r="M50" i="16"/>
  <c r="Q50" i="16"/>
  <c r="N50" i="16"/>
  <c r="O50" i="16"/>
  <c r="P50" i="16"/>
  <c r="T50" i="16"/>
  <c r="U50" i="16"/>
  <c r="V50" i="16"/>
  <c r="F75" i="15"/>
  <c r="G75" i="15" s="1"/>
  <c r="E5" i="15"/>
  <c r="F4" i="15"/>
  <c r="G4" i="15" s="1"/>
  <c r="H4" i="15" s="1"/>
  <c r="B76" i="15"/>
  <c r="F76" i="15" s="1"/>
  <c r="B62" i="15"/>
  <c r="G62" i="15" s="1"/>
  <c r="H61" i="15"/>
  <c r="I61" i="15" s="1"/>
  <c r="M51" i="16" l="1"/>
  <c r="R53" i="16"/>
  <c r="R54" i="16" s="1"/>
  <c r="W53" i="16"/>
  <c r="W54" i="16" s="1"/>
  <c r="S53" i="16"/>
  <c r="S54" i="16" s="1"/>
  <c r="N53" i="16"/>
  <c r="N54" i="16" s="1"/>
  <c r="O53" i="16"/>
  <c r="O54" i="16" s="1"/>
  <c r="U53" i="16"/>
  <c r="U54" i="16" s="1"/>
  <c r="T53" i="16"/>
  <c r="T54" i="16" s="1"/>
  <c r="V53" i="16"/>
  <c r="V54" i="16" s="1"/>
  <c r="Q53" i="16"/>
  <c r="Q54" i="16" s="1"/>
  <c r="P53" i="16"/>
  <c r="P54" i="16" s="1"/>
  <c r="B77" i="15"/>
  <c r="F77" i="15" s="1"/>
  <c r="G76" i="15"/>
  <c r="I76" i="15" s="1"/>
  <c r="E6" i="15"/>
  <c r="F5" i="15"/>
  <c r="G5" i="15" s="1"/>
  <c r="H5" i="15" s="1"/>
  <c r="B63" i="15"/>
  <c r="G63" i="15" s="1"/>
  <c r="H62" i="15"/>
  <c r="I62" i="15" s="1"/>
  <c r="M53" i="16" l="1"/>
  <c r="M54" i="16" s="1"/>
  <c r="M55" i="16" s="1"/>
  <c r="B78" i="15"/>
  <c r="F78" i="15" s="1"/>
  <c r="G77" i="15"/>
  <c r="I77" i="15" s="1"/>
  <c r="E7" i="15"/>
  <c r="F6" i="15"/>
  <c r="G6" i="15" s="1"/>
  <c r="H6" i="15" s="1"/>
  <c r="B64" i="15"/>
  <c r="G64" i="15" s="1"/>
  <c r="H63" i="15"/>
  <c r="I63" i="15" s="1"/>
  <c r="E8" i="15" l="1"/>
  <c r="F7" i="15"/>
  <c r="G7" i="15" s="1"/>
  <c r="H7" i="15" s="1"/>
  <c r="B79" i="15"/>
  <c r="F79" i="15" s="1"/>
  <c r="G78" i="15"/>
  <c r="I78" i="15" s="1"/>
  <c r="B65" i="15"/>
  <c r="G65" i="15" s="1"/>
  <c r="H64" i="15"/>
  <c r="I64" i="15" s="1"/>
  <c r="B80" i="15" l="1"/>
  <c r="F80" i="15" s="1"/>
  <c r="G79" i="15"/>
  <c r="I79" i="15" s="1"/>
  <c r="E9" i="15"/>
  <c r="F8" i="15"/>
  <c r="G8" i="15" s="1"/>
  <c r="H8" i="15" s="1"/>
  <c r="B66" i="15"/>
  <c r="G66" i="15" s="1"/>
  <c r="H65" i="15"/>
  <c r="I65" i="15" s="1"/>
  <c r="E10" i="15" l="1"/>
  <c r="F9" i="15"/>
  <c r="G9" i="15" s="1"/>
  <c r="H9" i="15" s="1"/>
  <c r="B81" i="15"/>
  <c r="F81" i="15" s="1"/>
  <c r="G80" i="15"/>
  <c r="I80" i="15" s="1"/>
  <c r="B67" i="15"/>
  <c r="G67" i="15" s="1"/>
  <c r="H66" i="15"/>
  <c r="I66" i="15" s="1"/>
  <c r="B82" i="15" l="1"/>
  <c r="F82" i="15" s="1"/>
  <c r="G81" i="15"/>
  <c r="I81" i="15" s="1"/>
  <c r="E11" i="15"/>
  <c r="F10" i="15"/>
  <c r="G10" i="15" s="1"/>
  <c r="H10" i="15" s="1"/>
  <c r="B68" i="15"/>
  <c r="G68" i="15" s="1"/>
  <c r="H67" i="15"/>
  <c r="I67" i="15" s="1"/>
  <c r="B83" i="15" l="1"/>
  <c r="F83" i="15" s="1"/>
  <c r="G82" i="15"/>
  <c r="I82" i="15" s="1"/>
  <c r="E12" i="15"/>
  <c r="F11" i="15"/>
  <c r="G11" i="15" s="1"/>
  <c r="H11" i="15" s="1"/>
  <c r="B69" i="15"/>
  <c r="G69" i="15" s="1"/>
  <c r="H68" i="15"/>
  <c r="I68" i="15" s="1"/>
  <c r="B84" i="15" l="1"/>
  <c r="F84" i="15" s="1"/>
  <c r="G83" i="15"/>
  <c r="I83" i="15" s="1"/>
  <c r="E13" i="15"/>
  <c r="F12" i="15"/>
  <c r="G12" i="15" s="1"/>
  <c r="H12" i="15" s="1"/>
  <c r="B70" i="15"/>
  <c r="G70" i="15" s="1"/>
  <c r="H69" i="15"/>
  <c r="I69" i="15" s="1"/>
  <c r="F13" i="15" l="1"/>
  <c r="G13" i="15" s="1"/>
  <c r="H13" i="15" s="1"/>
  <c r="B85" i="15"/>
  <c r="F85" i="15" s="1"/>
  <c r="G84" i="15"/>
  <c r="I84" i="15" s="1"/>
  <c r="B71" i="15"/>
  <c r="H70" i="15"/>
  <c r="I70" i="15" s="1"/>
  <c r="G71" i="15" l="1"/>
  <c r="H71" i="15" s="1"/>
  <c r="I71" i="15" s="1"/>
  <c r="B86" i="15"/>
  <c r="G85" i="15"/>
  <c r="I85" i="15" s="1"/>
  <c r="F86" i="15" l="1"/>
  <c r="G86" i="15" s="1"/>
  <c r="I86" i="15" s="1"/>
</calcChain>
</file>

<file path=xl/sharedStrings.xml><?xml version="1.0" encoding="utf-8"?>
<sst xmlns="http://schemas.openxmlformats.org/spreadsheetml/2006/main" count="267" uniqueCount="133">
  <si>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</si>
  <si>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</si>
  <si>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</si>
  <si>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</si>
  <si>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</si>
  <si>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</si>
  <si>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</si>
  <si>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</si>
  <si>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</si>
  <si>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</si>
  <si>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</si>
  <si>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</si>
  <si>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</si>
  <si>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</si>
  <si>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Rarita</t>
  </si>
  <si>
    <t>Description of Data</t>
  </si>
  <si>
    <t>Copyright © 2022 by the Society of Actuaries Research Institute. All rights reserved.</t>
  </si>
  <si>
    <t>All values are expressed in Rarita Doubloons</t>
  </si>
  <si>
    <t>2022 Student Research Case Study Challenge</t>
  </si>
  <si>
    <t>Byasier Pujan</t>
  </si>
  <si>
    <t>Cuandbo</t>
  </si>
  <si>
    <t>Djipines</t>
  </si>
  <si>
    <t>Eastern Sleboube</t>
  </si>
  <si>
    <t>Manlisgamncent</t>
  </si>
  <si>
    <t>Nkasland Cronestan</t>
  </si>
  <si>
    <t>Revenue</t>
  </si>
  <si>
    <t>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</si>
  <si>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</si>
  <si>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</si>
  <si>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</si>
  <si>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</si>
  <si>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</si>
  <si>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</si>
  <si>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</si>
  <si>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</si>
  <si>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</si>
  <si>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Name of nation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</si>
  <si>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</si>
  <si>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</si>
  <si>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</si>
  <si>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</si>
  <si>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</si>
  <si>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</si>
  <si>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</si>
  <si>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</si>
  <si>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Social Media Statistics</t>
  </si>
  <si>
    <t>Facebook</t>
  </si>
  <si>
    <t>Instagram</t>
  </si>
  <si>
    <t>Twitter</t>
  </si>
  <si>
    <t>Youtube</t>
  </si>
  <si>
    <t>Tiktok</t>
  </si>
  <si>
    <t>Average attendance at league games</t>
  </si>
  <si>
    <t>Football-Soccer Revenue, Expense and Other Data</t>
  </si>
  <si>
    <t>Football-Soccer Revenue</t>
  </si>
  <si>
    <t>Per Capita
Total Revenue (∂)</t>
  </si>
  <si>
    <t>Per Capita
Matchday (∂)</t>
  </si>
  <si>
    <t>Per Capita
Broadcast (∂)</t>
  </si>
  <si>
    <t>Per Capita
Commercial (∂)</t>
  </si>
  <si>
    <t>Football-Soccer Expense</t>
  </si>
  <si>
    <t>Per Capita
Total Expense (∂)</t>
  </si>
  <si>
    <t>Per Capita
Staff
Costs (∂)</t>
  </si>
  <si>
    <t>Per Capita
Other
Expenses (∂)</t>
  </si>
  <si>
    <t>Aggregate revenue for each nation</t>
  </si>
  <si>
    <t>Aggregate expense for each nation</t>
  </si>
  <si>
    <t>Total number of Facebook followers in millions</t>
  </si>
  <si>
    <t>Total number of Instagram followers in millions</t>
  </si>
  <si>
    <t>Total number of Twitter followers in millions</t>
  </si>
  <si>
    <t>Total number of Youtube followers in millions</t>
  </si>
  <si>
    <t>Total number of Tiktok followers in millions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</si>
  <si>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</si>
  <si>
    <t>Average of top 10 countries</t>
    <phoneticPr fontId="10" type="noConversion"/>
  </si>
  <si>
    <t>2020 Revenue</t>
    <phoneticPr fontId="10" type="noConversion"/>
  </si>
  <si>
    <t>2020 Expense</t>
    <phoneticPr fontId="10" type="noConversion"/>
  </si>
  <si>
    <t>Team Revenue</t>
    <phoneticPr fontId="10" type="noConversion"/>
  </si>
  <si>
    <t>Adjusted Team Reveue</t>
    <phoneticPr fontId="10" type="noConversion"/>
  </si>
  <si>
    <t>Team Expense</t>
    <phoneticPr fontId="10" type="noConversion"/>
  </si>
  <si>
    <t>Adjusted factor</t>
    <phoneticPr fontId="10" type="noConversion"/>
  </si>
  <si>
    <t>Adjusted Factor</t>
    <phoneticPr fontId="10" type="noConversion"/>
  </si>
  <si>
    <t>Revenue (without team)</t>
    <phoneticPr fontId="10" type="noConversion"/>
  </si>
  <si>
    <t>Expense(without team)</t>
    <phoneticPr fontId="10" type="noConversion"/>
  </si>
  <si>
    <t>Year</t>
  </si>
  <si>
    <t>Year</t>
    <phoneticPr fontId="10" type="noConversion"/>
  </si>
  <si>
    <t>Expense for foreign players</t>
    <phoneticPr fontId="10" type="noConversion"/>
  </si>
  <si>
    <t>-</t>
    <phoneticPr fontId="10" type="noConversion"/>
  </si>
  <si>
    <t>Adjusted Team Expense</t>
    <phoneticPr fontId="10" type="noConversion"/>
  </si>
  <si>
    <t>Total Team Expense</t>
    <phoneticPr fontId="10" type="noConversion"/>
  </si>
  <si>
    <t>Total Team Revenue</t>
    <phoneticPr fontId="10" type="noConversion"/>
  </si>
  <si>
    <t>Polulation</t>
    <phoneticPr fontId="10" type="noConversion"/>
  </si>
  <si>
    <t>Foreign players' salaries</t>
    <phoneticPr fontId="10" type="noConversion"/>
  </si>
  <si>
    <t>Rent of players</t>
    <phoneticPr fontId="10" type="noConversion"/>
  </si>
  <si>
    <t>Total Expense for foreign players</t>
    <phoneticPr fontId="10" type="noConversion"/>
  </si>
  <si>
    <t>per Capita Expense</t>
    <phoneticPr fontId="10" type="noConversion"/>
  </si>
  <si>
    <t>Annual Inflation rate</t>
    <phoneticPr fontId="10" type="noConversion"/>
  </si>
  <si>
    <r>
      <t>Per Capita
Total Revenue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</si>
  <si>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t>Per Capita Expense(without team)  (∂)</t>
    <phoneticPr fontId="10" type="noConversion"/>
  </si>
  <si>
    <r>
      <t>Per Capita Total Team Expense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</si>
  <si>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>Expense for foreign players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</si>
  <si>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>Adjusted Team Expense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</si>
  <si>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>Per Capita Team Expense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</si>
  <si>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>Per Capita Revenue (without team)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</si>
  <si>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>Per Capita Team Revenue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</si>
  <si>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>Adjusted Team Reveue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</si>
  <si>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r>
      <t xml:space="preserve"> Per Capita Total Team Revenue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</si>
  <si>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t>Operating profit/Loss(per Capita)  (∂)</t>
    <phoneticPr fontId="10" type="noConversion"/>
  </si>
  <si>
    <t>Operating profit/Loss  (∂)</t>
    <phoneticPr fontId="10" type="noConversion"/>
  </si>
  <si>
    <t>PV</t>
    <phoneticPr fontId="10" type="noConversion"/>
  </si>
  <si>
    <t>NPV</t>
    <phoneticPr fontId="10" type="noConversion"/>
  </si>
  <si>
    <t>risk-free rate</t>
    <phoneticPr fontId="10" type="noConversion"/>
  </si>
  <si>
    <t>discount rate</t>
    <phoneticPr fontId="10" type="noConversion"/>
  </si>
  <si>
    <t>initial fund</t>
    <phoneticPr fontId="10" type="noConversion"/>
  </si>
  <si>
    <t>(PV of initial 3 years)</t>
    <phoneticPr fontId="10" type="noConversion"/>
  </si>
  <si>
    <t>(amount of loan)</t>
    <phoneticPr fontId="10" type="noConversion"/>
  </si>
  <si>
    <t>repayment</t>
    <phoneticPr fontId="10" type="noConversion"/>
  </si>
  <si>
    <t>sensitivity test</t>
    <phoneticPr fontId="10" type="noConversion"/>
  </si>
  <si>
    <t>NPV+-10%</t>
    <phoneticPr fontId="10" type="noConversion"/>
  </si>
  <si>
    <t>money borrowed</t>
    <phoneticPr fontId="10" type="noConversion"/>
  </si>
  <si>
    <t>lump-sum funding by Rarita</t>
    <phoneticPr fontId="10" type="noConversion"/>
  </si>
  <si>
    <t>subtotal</t>
    <phoneticPr fontId="10" type="noConversion"/>
  </si>
  <si>
    <t>t</t>
    <phoneticPr fontId="10" type="noConversion"/>
  </si>
  <si>
    <t>year</t>
    <phoneticPr fontId="10" type="noConversion"/>
  </si>
  <si>
    <t>Revenue</t>
    <phoneticPr fontId="10" type="noConversion"/>
  </si>
  <si>
    <t>Expense</t>
    <phoneticPr fontId="10" type="noConversion"/>
  </si>
  <si>
    <r>
      <t>Operating profit/Loss(per Capita)  (</t>
    </r>
    <r>
      <rPr>
        <b/>
        <sz val="12"/>
        <color theme="0"/>
        <rFont val="DengXian"/>
        <family val="4"/>
        <charset val="134"/>
      </rPr>
      <t>∂)</t>
    </r>
    <phoneticPr fontId="10" type="noConversion"/>
  </si>
  <si>
    <t>Expense (per Capita)  (∂)</t>
    <phoneticPr fontId="10" type="noConversion"/>
  </si>
  <si>
    <r>
      <t>Revenue (per Capita)  (</t>
    </r>
    <r>
      <rPr>
        <b/>
        <sz val="12"/>
        <color theme="0"/>
        <rFont val="等线"/>
        <family val="4"/>
        <charset val="134"/>
        <scheme val="minor"/>
      </rPr>
      <t>∂</t>
    </r>
    <r>
      <rPr>
        <b/>
        <sz val="12"/>
        <color theme="0"/>
        <rFont val="等线"/>
        <family val="2"/>
        <scheme val="minor"/>
      </rPr>
      <t>)</t>
    </r>
    <phoneticPr fontId="10" type="noConversion"/>
  </si>
  <si>
    <t>discount rate 4.45%</t>
    <phoneticPr fontId="10" type="noConversion"/>
  </si>
  <si>
    <t>Time</t>
    <phoneticPr fontId="10" type="noConversion"/>
  </si>
  <si>
    <t>Annual percentage rate for the loan 2.8%</t>
    <phoneticPr fontId="10" type="noConversion"/>
  </si>
  <si>
    <t>operating profit/loss</t>
    <phoneticPr fontId="10" type="noConversion"/>
  </si>
  <si>
    <t>NPV-10%</t>
    <phoneticPr fontId="10" type="noConversion"/>
  </si>
  <si>
    <t>NPV+10%</t>
    <phoneticPr fontId="10" type="noConversion"/>
  </si>
  <si>
    <t>average risk-free rate</t>
    <phoneticPr fontId="10" type="noConversion"/>
  </si>
  <si>
    <t>Maurity year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</si>
</sst>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7" formatCode="&quot;∂ &quot;\ 0.00_);[Red]\(0.00\)\ "/>
    <numFmt numFmtId="178" formatCode="&quot;∂ &quot;\ 0.00_ "/>
    <numFmt numFmtId="179" formatCode="&quot;∂ &quot;\ 0_ "/>
    <numFmt numFmtId="180" formatCode="0.00_ "/>
    <numFmt numFmtId="181" formatCode="0.000000_ "/>
    <numFmt numFmtId="182" formatCode="&quot;∂ &quot;\ 0.00_);[Red]&quot;∂ &quot;\ \(0.00\)\ "/>
    <numFmt numFmtId="183" formatCode="0.0%"/>
    <numFmt numFmtId="184" formatCode="0.000000_);[Red]\(0.000000\)"/>
    <numFmt numFmtId="185" formatCode="0.0000000_);[Red]\(0.0000000\)"/>
  </numFmts>
  <fonts count="23">
    <font>
      <sz val="11"/>
      <color indexed="8"/>
      <name val="等线"/>
      <family val="2"/>
      <scheme val="minor"/>
    </font>
    <font>
      <sz val="11"/>
      <name val="等线 Light"/>
      <family val="2"/>
      <scheme val="major"/>
    </font>
    <font>
      <b/>
      <sz val="14"/>
      <color theme="4"/>
      <name val="等线 Light"/>
      <family val="2"/>
      <scheme val="major"/>
    </font>
    <font>
      <sz val="11"/>
      <color indexed="8"/>
      <name val="等线 Light"/>
      <family val="2"/>
      <scheme val="major"/>
    </font>
    <font>
      <sz val="11"/>
      <color theme="1"/>
      <name val="等线 Light"/>
      <family val="2"/>
      <scheme val="major"/>
    </font>
    <font>
      <b/>
      <sz val="12"/>
      <color theme="0"/>
      <name val="等线"/>
      <family val="2"/>
      <scheme val="minor"/>
    </font>
    <font>
      <sz val="8"/>
      <color indexed="8"/>
      <name val="等线 Light"/>
      <family val="2"/>
      <scheme val="major"/>
    </font>
    <font>
      <b/>
      <sz val="12"/>
      <color theme="4"/>
      <name val="等线 Light"/>
      <family val="2"/>
      <scheme val="major"/>
    </font>
    <font>
      <sz val="11"/>
      <color indexed="8"/>
      <name val="Calibri Light"/>
      <family val="2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4"/>
      <charset val="134"/>
      <scheme val="minor"/>
    </font>
    <font>
      <b/>
      <sz val="11"/>
      <color indexed="8"/>
      <name val="等线 Light"/>
      <family val="4"/>
      <charset val="134"/>
      <scheme val="major"/>
    </font>
    <font>
      <b/>
      <sz val="12"/>
      <color theme="0"/>
      <name val="等线"/>
      <family val="4"/>
      <charset val="134"/>
      <scheme val="minor"/>
    </font>
    <font>
      <b/>
      <sz val="12"/>
      <color theme="0"/>
      <name val="DengXian"/>
      <family val="4"/>
      <charset val="134"/>
    </font>
    <font>
      <b/>
      <sz val="12"/>
      <color rgb="FFFF0000"/>
      <name val="等线"/>
      <family val="2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indexed="8"/>
      <name val="等线"/>
      <family val="4"/>
      <charset val="134"/>
      <scheme val="minor"/>
    </font>
    <font>
      <b/>
      <sz val="12"/>
      <color theme="4" tint="-0.249977111117893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7" fillId="0" borderId="0" xfId="0" applyFont="1"/>
    <xf numFmtId="0" fontId="5" fillId="2" borderId="0" xfId="0" applyFont="1" applyFill="1" applyBorder="1" applyAlignment="1">
      <alignment horizontal="center" wrapText="1"/>
    </xf>
    <xf numFmtId="4" fontId="4" fillId="0" borderId="0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" fontId="4" fillId="0" borderId="1" xfId="0" applyNumberFormat="1" applyFont="1" applyFill="1" applyBorder="1"/>
    <xf numFmtId="0" fontId="5" fillId="2" borderId="2" xfId="0" applyFont="1" applyFill="1" applyBorder="1" applyAlignment="1">
      <alignment horizontal="center" wrapText="1"/>
    </xf>
    <xf numFmtId="4" fontId="4" fillId="0" borderId="2" xfId="0" applyNumberFormat="1" applyFont="1" applyFill="1" applyBorder="1"/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4" fontId="3" fillId="0" borderId="0" xfId="0" applyNumberFormat="1" applyFont="1"/>
    <xf numFmtId="0" fontId="0" fillId="0" borderId="0" xfId="0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/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81" fontId="0" fillId="0" borderId="0" xfId="0" applyNumberFormat="1"/>
    <xf numFmtId="10" fontId="0" fillId="0" borderId="0" xfId="0" applyNumberFormat="1"/>
    <xf numFmtId="0" fontId="15" fillId="4" borderId="1" xfId="0" applyFont="1" applyFill="1" applyBorder="1" applyAlignment="1">
      <alignment horizontal="center" vertical="center" wrapText="1"/>
    </xf>
    <xf numFmtId="182" fontId="0" fillId="0" borderId="0" xfId="0" applyNumberFormat="1" applyBorder="1"/>
    <xf numFmtId="2" fontId="0" fillId="0" borderId="0" xfId="0" applyNumberFormat="1"/>
    <xf numFmtId="182" fontId="0" fillId="0" borderId="11" xfId="0" applyNumberFormat="1" applyBorder="1"/>
    <xf numFmtId="182" fontId="0" fillId="0" borderId="13" xfId="0" applyNumberFormat="1" applyBorder="1"/>
    <xf numFmtId="182" fontId="0" fillId="0" borderId="14" xfId="0" applyNumberFormat="1" applyBorder="1"/>
    <xf numFmtId="182" fontId="16" fillId="0" borderId="0" xfId="0" applyNumberFormat="1" applyFont="1" applyBorder="1"/>
    <xf numFmtId="10" fontId="11" fillId="0" borderId="0" xfId="0" applyNumberFormat="1" applyFont="1" applyBorder="1"/>
    <xf numFmtId="10" fontId="11" fillId="0" borderId="13" xfId="0" applyNumberFormat="1" applyFont="1" applyBorder="1"/>
    <xf numFmtId="10" fontId="11" fillId="0" borderId="11" xfId="0" applyNumberFormat="1" applyFont="1" applyBorder="1"/>
    <xf numFmtId="184" fontId="0" fillId="0" borderId="0" xfId="0" applyNumberFormat="1"/>
    <xf numFmtId="185" fontId="0" fillId="0" borderId="0" xfId="0" applyNumberFormat="1"/>
    <xf numFmtId="0" fontId="18" fillId="5" borderId="7" xfId="0" applyFont="1" applyFill="1" applyBorder="1"/>
    <xf numFmtId="0" fontId="19" fillId="0" borderId="8" xfId="0" applyFont="1" applyBorder="1"/>
    <xf numFmtId="0" fontId="19" fillId="0" borderId="9" xfId="0" applyFont="1" applyBorder="1"/>
    <xf numFmtId="0" fontId="18" fillId="5" borderId="10" xfId="0" applyFont="1" applyFill="1" applyBorder="1"/>
    <xf numFmtId="10" fontId="20" fillId="0" borderId="10" xfId="0" applyNumberFormat="1" applyFont="1" applyBorder="1"/>
    <xf numFmtId="0" fontId="20" fillId="0" borderId="0" xfId="0" applyFont="1" applyBorder="1"/>
    <xf numFmtId="0" fontId="20" fillId="0" borderId="11" xfId="0" applyFont="1" applyBorder="1"/>
    <xf numFmtId="0" fontId="20" fillId="0" borderId="10" xfId="0" applyFont="1" applyBorder="1"/>
    <xf numFmtId="182" fontId="19" fillId="0" borderId="0" xfId="0" applyNumberFormat="1" applyFont="1" applyBorder="1"/>
    <xf numFmtId="182" fontId="19" fillId="0" borderId="11" xfId="0" applyNumberFormat="1" applyFont="1" applyBorder="1"/>
    <xf numFmtId="177" fontId="19" fillId="0" borderId="0" xfId="0" applyNumberFormat="1" applyFont="1" applyBorder="1"/>
    <xf numFmtId="177" fontId="19" fillId="0" borderId="11" xfId="0" applyNumberFormat="1" applyFont="1" applyBorder="1"/>
    <xf numFmtId="182" fontId="19" fillId="0" borderId="6" xfId="0" applyNumberFormat="1" applyFont="1" applyBorder="1"/>
    <xf numFmtId="182" fontId="19" fillId="0" borderId="19" xfId="0" applyNumberFormat="1" applyFont="1" applyBorder="1"/>
    <xf numFmtId="0" fontId="20" fillId="0" borderId="12" xfId="0" applyFont="1" applyBorder="1"/>
    <xf numFmtId="182" fontId="20" fillId="0" borderId="13" xfId="0" applyNumberFormat="1" applyFont="1" applyBorder="1"/>
    <xf numFmtId="182" fontId="19" fillId="0" borderId="13" xfId="0" applyNumberFormat="1" applyFont="1" applyBorder="1"/>
    <xf numFmtId="182" fontId="19" fillId="0" borderId="14" xfId="0" applyNumberFormat="1" applyFont="1" applyBorder="1"/>
    <xf numFmtId="10" fontId="3" fillId="0" borderId="0" xfId="0" applyNumberFormat="1" applyFont="1"/>
    <xf numFmtId="49" fontId="0" fillId="0" borderId="0" xfId="0" applyNumberFormat="1" applyAlignment="1">
      <alignment horizontal="center"/>
    </xf>
    <xf numFmtId="14" fontId="0" fillId="0" borderId="0" xfId="0" applyNumberFormat="1"/>
    <xf numFmtId="182" fontId="21" fillId="0" borderId="11" xfId="0" applyNumberFormat="1" applyFont="1" applyBorder="1"/>
    <xf numFmtId="0" fontId="19" fillId="0" borderId="8" xfId="0" applyFont="1" applyFill="1" applyBorder="1"/>
    <xf numFmtId="0" fontId="17" fillId="0" borderId="0" xfId="0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82" fontId="17" fillId="0" borderId="16" xfId="0" applyNumberFormat="1" applyFont="1" applyBorder="1" applyAlignment="1">
      <alignment horizontal="center" vertical="center"/>
    </xf>
    <xf numFmtId="182" fontId="17" fillId="0" borderId="15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7" fillId="0" borderId="20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10" fontId="11" fillId="0" borderId="22" xfId="0" applyNumberFormat="1" applyFont="1" applyBorder="1"/>
    <xf numFmtId="10" fontId="11" fillId="0" borderId="23" xfId="0" applyNumberFormat="1" applyFont="1" applyBorder="1"/>
    <xf numFmtId="0" fontId="11" fillId="0" borderId="0" xfId="0" applyFont="1"/>
    <xf numFmtId="10" fontId="0" fillId="0" borderId="8" xfId="0" applyNumberFormat="1" applyBorder="1"/>
    <xf numFmtId="10" fontId="0" fillId="0" borderId="9" xfId="0" applyNumberFormat="1" applyBorder="1"/>
    <xf numFmtId="0" fontId="0" fillId="0" borderId="12" xfId="0" applyBorder="1"/>
    <xf numFmtId="0" fontId="11" fillId="0" borderId="7" xfId="0" applyFont="1" applyBorder="1"/>
    <xf numFmtId="183" fontId="0" fillId="0" borderId="8" xfId="0" applyNumberFormat="1" applyBorder="1"/>
    <xf numFmtId="2" fontId="0" fillId="0" borderId="9" xfId="0" applyNumberFormat="1" applyBorder="1"/>
    <xf numFmtId="2" fontId="0" fillId="0" borderId="14" xfId="0" applyNumberFormat="1" applyBorder="1"/>
    <xf numFmtId="0" fontId="22" fillId="0" borderId="12" xfId="0" applyFont="1" applyBorder="1"/>
    <xf numFmtId="0" fontId="12" fillId="0" borderId="0" xfId="0" applyFont="1"/>
    <xf numFmtId="0" fontId="11" fillId="0" borderId="21" xfId="0" applyFont="1" applyBorder="1"/>
    <xf numFmtId="0" fontId="11" fillId="0" borderId="22" xfId="0" applyFont="1" applyBorder="1"/>
  </cellXfs>
  <cellStyles count="2">
    <cellStyle name="百分比" xfId="1" builtinId="5"/>
    <cellStyle name="常规" xfId="0" builtinId="0"/>
  </cellStyles>
  <dxfs count="2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5544332" y="113714"/>
          <a:ext cx="1014632" cy="571500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1055076</xdr:colOff>
      <xdr:row>3</xdr:row>
      <xdr:rowOff>43962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BE7DFC6-DE08-43DF-B96A-B2290718D8C0}"/>
            </a:ext>
          </a:extLst>
        </xdr:cNvPr>
        <xdr:cNvGrpSpPr/>
      </xdr:nvGrpSpPr>
      <xdr:grpSpPr>
        <a:xfrm>
          <a:off x="292100" y="0"/>
          <a:ext cx="1055076" cy="615462"/>
          <a:chOff x="1337018" y="168519"/>
          <a:chExt cx="1046137" cy="591576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1AEB53F-1214-4BB8-A204-1F2BB5921181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7051A4-9BF2-4BE3-B603-73F92A1E7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320675" y="123825"/>
          <a:ext cx="1051266" cy="61736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C6FD1E-E244-4157-BD16-6FD25E08A6AD}"/>
            </a:ext>
          </a:extLst>
        </xdr:cNvPr>
        <xdr:cNvGrpSpPr/>
      </xdr:nvGrpSpPr>
      <xdr:grpSpPr>
        <a:xfrm>
          <a:off x="6562725" y="112395"/>
          <a:ext cx="1110517" cy="571500"/>
          <a:chOff x="3337560" y="82501"/>
          <a:chExt cx="1016537" cy="54951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6274892-3903-4E31-B535-431BCB3D7B02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22118C4-7AD9-4265-9A2B-D0B274F04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93B779-B227-4F13-842E-C51890BF6585}"/>
            </a:ext>
          </a:extLst>
        </xdr:cNvPr>
        <xdr:cNvGrpSpPr/>
      </xdr:nvGrpSpPr>
      <xdr:grpSpPr>
        <a:xfrm>
          <a:off x="318770" y="125730"/>
          <a:ext cx="1056981" cy="61927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FC1373-6583-4190-9840-BFCA7144DC7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93FB00-6515-4B4C-B3A3-E97263469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E4D983A-0E39-4F62-884B-E5CEE0D27D5C}"/>
            </a:ext>
          </a:extLst>
        </xdr:cNvPr>
        <xdr:cNvGrpSpPr/>
      </xdr:nvGrpSpPr>
      <xdr:grpSpPr>
        <a:xfrm>
          <a:off x="8672830" y="64770"/>
          <a:ext cx="111051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9FF977A-9CA3-47FA-AE7B-E0C89B4B714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A9D4D10-A366-43D5-A1CE-6412F615EE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B7:N37"/>
  <sheetViews>
    <sheetView zoomScaleNormal="100" workbookViewId="0">
      <selection activeCell="C18" sqref="C18"/>
    </sheetView>
  </sheetViews>
  <sheetFormatPr baseColWidth="10" defaultColWidth="8.83203125" defaultRowHeight="15"/>
  <cols>
    <col min="1" max="1" width="3.83203125" style="1" customWidth="1"/>
    <col min="2" max="2" width="27" style="1" customWidth="1"/>
    <col min="3" max="3" width="62.1640625" style="1" customWidth="1"/>
    <col min="4" max="16384" width="8.83203125" style="1"/>
  </cols>
  <sheetData>
    <row r="7" spans="2:14" ht="18">
      <c r="B7" s="3" t="s">
        <v>18</v>
      </c>
    </row>
    <row r="8" spans="2:14" ht="18">
      <c r="B8" s="3" t="s">
        <v>52</v>
      </c>
    </row>
    <row r="9" spans="2:14" ht="18">
      <c r="B9" s="3" t="s">
        <v>15</v>
      </c>
      <c r="C9" s="8" t="s">
        <v>16</v>
      </c>
    </row>
    <row r="12" spans="2:14" ht="16">
      <c r="B12" s="10" t="s">
        <v>25</v>
      </c>
    </row>
    <row r="13" spans="2:14" ht="16">
      <c r="B13" s="9" t="s">
        <v>26</v>
      </c>
      <c r="C13" s="9" t="s">
        <v>36</v>
      </c>
    </row>
    <row r="14" spans="2:14" ht="64">
      <c r="B14" s="9" t="s">
        <v>25</v>
      </c>
      <c r="C14" s="9" t="s">
        <v>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ht="16">
      <c r="B15" s="9" t="s">
        <v>28</v>
      </c>
      <c r="C15" s="9" t="s">
        <v>62</v>
      </c>
    </row>
    <row r="16" spans="2:14" ht="32">
      <c r="B16" s="9" t="s">
        <v>29</v>
      </c>
      <c r="C16" s="9" t="s">
        <v>30</v>
      </c>
    </row>
    <row r="17" spans="2:3" ht="48">
      <c r="B17" s="9" t="s">
        <v>31</v>
      </c>
      <c r="C17" s="9" t="s">
        <v>32</v>
      </c>
    </row>
    <row r="18" spans="2:3" ht="32">
      <c r="B18" s="9" t="s">
        <v>33</v>
      </c>
      <c r="C18" s="9" t="s">
        <v>34</v>
      </c>
    </row>
    <row r="20" spans="2:3" ht="16">
      <c r="B20" s="10" t="s">
        <v>35</v>
      </c>
    </row>
    <row r="21" spans="2:3" ht="16">
      <c r="B21" s="9" t="s">
        <v>26</v>
      </c>
      <c r="C21" s="9" t="s">
        <v>36</v>
      </c>
    </row>
    <row r="22" spans="2:3" ht="64">
      <c r="B22" s="9" t="s">
        <v>35</v>
      </c>
      <c r="C22" s="9" t="s">
        <v>37</v>
      </c>
    </row>
    <row r="23" spans="2:3" ht="16">
      <c r="B23" s="9" t="s">
        <v>38</v>
      </c>
      <c r="C23" s="9" t="s">
        <v>63</v>
      </c>
    </row>
    <row r="24" spans="2:3" ht="48">
      <c r="B24" s="9" t="s">
        <v>39</v>
      </c>
      <c r="C24" s="9" t="s">
        <v>40</v>
      </c>
    </row>
    <row r="25" spans="2:3" ht="32">
      <c r="B25" s="9" t="s">
        <v>41</v>
      </c>
      <c r="C25" s="9" t="s">
        <v>42</v>
      </c>
    </row>
    <row r="27" spans="2:3" ht="16">
      <c r="B27" s="10" t="s">
        <v>43</v>
      </c>
    </row>
    <row r="28" spans="2:3" ht="16">
      <c r="B28" s="9" t="s">
        <v>26</v>
      </c>
      <c r="C28" s="9" t="s">
        <v>36</v>
      </c>
    </row>
    <row r="29" spans="2:3" ht="16">
      <c r="B29" s="9" t="s">
        <v>44</v>
      </c>
      <c r="C29" s="9" t="s">
        <v>51</v>
      </c>
    </row>
    <row r="31" spans="2:3" ht="16">
      <c r="B31" s="10" t="s">
        <v>45</v>
      </c>
    </row>
    <row r="32" spans="2:3" ht="16">
      <c r="B32" s="9" t="s">
        <v>26</v>
      </c>
      <c r="C32" s="9" t="s">
        <v>36</v>
      </c>
    </row>
    <row r="33" spans="2:3" ht="16">
      <c r="B33" s="9" t="s">
        <v>46</v>
      </c>
      <c r="C33" s="9" t="s">
        <v>64</v>
      </c>
    </row>
    <row r="34" spans="2:3" ht="16">
      <c r="B34" s="9" t="s">
        <v>47</v>
      </c>
      <c r="C34" s="9" t="s">
        <v>65</v>
      </c>
    </row>
    <row r="35" spans="2:3" ht="16">
      <c r="B35" s="9" t="s">
        <v>48</v>
      </c>
      <c r="C35" s="9" t="s">
        <v>66</v>
      </c>
    </row>
    <row r="36" spans="2:3" ht="16">
      <c r="B36" s="9" t="s">
        <v>49</v>
      </c>
      <c r="C36" s="9" t="s">
        <v>67</v>
      </c>
    </row>
    <row r="37" spans="2:3" ht="16">
      <c r="B37" s="9" t="s">
        <v>50</v>
      </c>
      <c r="C37" s="9" t="s">
        <v>68</v>
      </c>
    </row>
  </sheetData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/>
  </sheetPr>
  <dimension ref="A7:V34"/>
  <sheetViews>
    <sheetView topLeftCell="A14" zoomScaleNormal="100" workbookViewId="0">
      <pane xSplit="1" topLeftCell="B1" activePane="topRight" state="frozen"/>
      <selection activeCell="A11" sqref="A11"/>
      <selection pane="topRight" activeCell="B30" sqref="B30:F30"/>
    </sheetView>
  </sheetViews>
  <sheetFormatPr baseColWidth="10" defaultColWidth="8.83203125" defaultRowHeight="15"/>
  <cols>
    <col min="1" max="1" width="3.83203125" style="4" customWidth="1"/>
    <col min="2" max="2" width="21.83203125" style="4" bestFit="1" customWidth="1"/>
    <col min="3" max="22" width="12.83203125" style="4" customWidth="1"/>
    <col min="23" max="16384" width="8.83203125" style="4"/>
  </cols>
  <sheetData>
    <row r="7" spans="1:22" ht="18">
      <c r="B7" s="3" t="s">
        <v>18</v>
      </c>
    </row>
    <row r="8" spans="1:22" ht="18">
      <c r="B8" s="3" t="s">
        <v>53</v>
      </c>
    </row>
    <row r="9" spans="1:22">
      <c r="B9" s="4" t="s">
        <v>17</v>
      </c>
      <c r="H9" s="8" t="s">
        <v>16</v>
      </c>
    </row>
    <row r="12" spans="1:22" s="5" customFormat="1" ht="16">
      <c r="C12" s="18">
        <v>2020</v>
      </c>
      <c r="D12" s="19"/>
      <c r="E12" s="19"/>
      <c r="F12" s="20"/>
      <c r="G12" s="21">
        <v>2019</v>
      </c>
      <c r="H12" s="21"/>
      <c r="I12" s="21"/>
      <c r="J12" s="21"/>
      <c r="K12" s="18">
        <v>2018</v>
      </c>
      <c r="L12" s="19"/>
      <c r="M12" s="19"/>
      <c r="N12" s="20"/>
      <c r="O12" s="21">
        <v>2017</v>
      </c>
      <c r="P12" s="21"/>
      <c r="Q12" s="21"/>
      <c r="R12" s="21"/>
      <c r="S12" s="18">
        <v>2016</v>
      </c>
      <c r="T12" s="19"/>
      <c r="U12" s="19"/>
      <c r="V12" s="20"/>
    </row>
    <row r="13" spans="1:22" s="5" customFormat="1" ht="51">
      <c r="B13" s="7" t="s">
        <v>26</v>
      </c>
      <c r="C13" s="14" t="s">
        <v>54</v>
      </c>
      <c r="D13" s="11" t="s">
        <v>55</v>
      </c>
      <c r="E13" s="11" t="s">
        <v>56</v>
      </c>
      <c r="F13" s="16" t="s">
        <v>57</v>
      </c>
      <c r="G13" s="13" t="s">
        <v>54</v>
      </c>
      <c r="H13" s="13" t="s">
        <v>55</v>
      </c>
      <c r="I13" s="13" t="s">
        <v>56</v>
      </c>
      <c r="J13" s="13" t="s">
        <v>57</v>
      </c>
      <c r="K13" s="14" t="s">
        <v>54</v>
      </c>
      <c r="L13" s="11" t="s">
        <v>55</v>
      </c>
      <c r="M13" s="11" t="s">
        <v>56</v>
      </c>
      <c r="N13" s="16" t="s">
        <v>57</v>
      </c>
      <c r="O13" s="13" t="s">
        <v>54</v>
      </c>
      <c r="P13" s="13" t="s">
        <v>55</v>
      </c>
      <c r="Q13" s="13" t="s">
        <v>56</v>
      </c>
      <c r="R13" s="13" t="s">
        <v>57</v>
      </c>
      <c r="S13" s="14" t="s">
        <v>54</v>
      </c>
      <c r="T13" s="11" t="s">
        <v>55</v>
      </c>
      <c r="U13" s="11" t="s">
        <v>56</v>
      </c>
      <c r="V13" s="16" t="s">
        <v>57</v>
      </c>
    </row>
    <row r="14" spans="1:22" s="5" customFormat="1">
      <c r="A14" s="5">
        <v>1</v>
      </c>
      <c r="B14" s="6" t="s">
        <v>8</v>
      </c>
      <c r="C14" s="15">
        <v>155.73000000000002</v>
      </c>
      <c r="D14" s="12">
        <v>30.4</v>
      </c>
      <c r="E14" s="12">
        <v>72.53</v>
      </c>
      <c r="F14" s="17">
        <v>52.8</v>
      </c>
      <c r="G14" s="12">
        <v>193.31</v>
      </c>
      <c r="H14" s="12">
        <v>27.01</v>
      </c>
      <c r="I14" s="12">
        <v>84.21</v>
      </c>
      <c r="J14" s="12">
        <v>82.09</v>
      </c>
      <c r="K14" s="15">
        <v>147.94</v>
      </c>
      <c r="L14" s="12">
        <v>18.43</v>
      </c>
      <c r="M14" s="12">
        <v>51.59</v>
      </c>
      <c r="N14" s="17">
        <v>77.92</v>
      </c>
      <c r="O14" s="12">
        <v>137.35000000000002</v>
      </c>
      <c r="P14" s="12">
        <v>14.68</v>
      </c>
      <c r="Q14" s="12">
        <v>54.52</v>
      </c>
      <c r="R14" s="12">
        <v>68.150000000000006</v>
      </c>
      <c r="S14" s="15">
        <v>93.87</v>
      </c>
      <c r="T14" s="12">
        <v>13.56</v>
      </c>
      <c r="U14" s="12">
        <v>51.63</v>
      </c>
      <c r="V14" s="17">
        <v>28.68</v>
      </c>
    </row>
    <row r="15" spans="1:22" s="5" customFormat="1">
      <c r="A15" s="5">
        <v>1</v>
      </c>
      <c r="B15" s="6" t="s">
        <v>19</v>
      </c>
      <c r="C15" s="15">
        <v>302.27</v>
      </c>
      <c r="D15" s="12">
        <v>26.38</v>
      </c>
      <c r="E15" s="12">
        <v>119.26</v>
      </c>
      <c r="F15" s="17">
        <v>156.63</v>
      </c>
      <c r="G15" s="12">
        <v>337.11</v>
      </c>
      <c r="H15" s="12">
        <v>34.26</v>
      </c>
      <c r="I15" s="12">
        <v>158.61000000000001</v>
      </c>
      <c r="J15" s="12">
        <v>144.24</v>
      </c>
      <c r="K15" s="15">
        <v>316.52</v>
      </c>
      <c r="L15" s="12">
        <v>35.6</v>
      </c>
      <c r="M15" s="12">
        <v>132.94999999999999</v>
      </c>
      <c r="N15" s="17">
        <v>147.97</v>
      </c>
      <c r="O15" s="12">
        <v>295.43</v>
      </c>
      <c r="P15" s="12">
        <v>33.57</v>
      </c>
      <c r="Q15" s="12">
        <v>132.61000000000001</v>
      </c>
      <c r="R15" s="12">
        <v>129.25</v>
      </c>
      <c r="S15" s="15">
        <v>295.5</v>
      </c>
      <c r="T15" s="12">
        <v>39.4</v>
      </c>
      <c r="U15" s="12">
        <v>121.58</v>
      </c>
      <c r="V15" s="17">
        <v>134.52000000000001</v>
      </c>
    </row>
    <row r="16" spans="1:22" s="5" customFormat="1">
      <c r="B16" s="6" t="s">
        <v>20</v>
      </c>
      <c r="C16" s="15">
        <v>315.09000000000003</v>
      </c>
      <c r="D16" s="12">
        <v>20.71</v>
      </c>
      <c r="E16" s="12">
        <v>165.68</v>
      </c>
      <c r="F16" s="17">
        <v>128.69999999999999</v>
      </c>
      <c r="G16" s="12">
        <v>317.2</v>
      </c>
      <c r="H16" s="12">
        <v>25.56</v>
      </c>
      <c r="I16" s="12">
        <v>228.5</v>
      </c>
      <c r="J16" s="12">
        <v>63.14</v>
      </c>
      <c r="K16" s="15">
        <v>327.33</v>
      </c>
      <c r="L16" s="12">
        <v>29.2</v>
      </c>
      <c r="M16" s="12">
        <v>245.88</v>
      </c>
      <c r="N16" s="17">
        <v>52.25</v>
      </c>
      <c r="O16" s="12">
        <v>315.69</v>
      </c>
      <c r="P16" s="12">
        <v>26.83</v>
      </c>
      <c r="Q16" s="12">
        <v>239.93</v>
      </c>
      <c r="R16" s="12">
        <v>48.93</v>
      </c>
      <c r="S16" s="15">
        <v>263.39</v>
      </c>
      <c r="T16" s="12">
        <v>38.78</v>
      </c>
      <c r="U16" s="12">
        <v>180.98</v>
      </c>
      <c r="V16" s="17">
        <v>43.63</v>
      </c>
    </row>
    <row r="17" spans="1:22" s="5" customFormat="1">
      <c r="B17" s="6" t="s">
        <v>21</v>
      </c>
      <c r="C17" s="15">
        <v>426.70000000000005</v>
      </c>
      <c r="D17" s="12">
        <v>95.64</v>
      </c>
      <c r="E17" s="12">
        <v>223.16</v>
      </c>
      <c r="F17" s="17">
        <v>107.9</v>
      </c>
      <c r="G17" s="12">
        <v>449.32000000000005</v>
      </c>
      <c r="H17" s="12">
        <v>123.44</v>
      </c>
      <c r="I17" s="12">
        <v>224.66</v>
      </c>
      <c r="J17" s="12">
        <v>101.22</v>
      </c>
      <c r="K17" s="15">
        <v>317.51</v>
      </c>
      <c r="L17" s="12">
        <v>91.78</v>
      </c>
      <c r="M17" s="12">
        <v>133.94999999999999</v>
      </c>
      <c r="N17" s="17">
        <v>91.78</v>
      </c>
      <c r="O17" s="12">
        <v>261.60000000000002</v>
      </c>
      <c r="P17" s="12">
        <v>87.2</v>
      </c>
      <c r="Q17" s="12">
        <v>104.64</v>
      </c>
      <c r="R17" s="12">
        <v>69.760000000000005</v>
      </c>
      <c r="S17" s="15">
        <v>237.79999999999998</v>
      </c>
      <c r="T17" s="12">
        <v>80.099999999999994</v>
      </c>
      <c r="U17" s="12">
        <v>87.61</v>
      </c>
      <c r="V17" s="17">
        <v>70.09</v>
      </c>
    </row>
    <row r="18" spans="1:22" s="5" customFormat="1">
      <c r="A18" s="5">
        <v>1</v>
      </c>
      <c r="B18" s="6" t="s">
        <v>1</v>
      </c>
      <c r="C18" s="15">
        <v>291.31</v>
      </c>
      <c r="D18" s="12">
        <v>49.54</v>
      </c>
      <c r="E18" s="12">
        <v>80.77</v>
      </c>
      <c r="F18" s="17">
        <v>161</v>
      </c>
      <c r="G18" s="12">
        <v>343.19</v>
      </c>
      <c r="H18" s="12">
        <v>62.59</v>
      </c>
      <c r="I18" s="12">
        <v>84.72</v>
      </c>
      <c r="J18" s="12">
        <v>195.88</v>
      </c>
      <c r="K18" s="15">
        <v>293.11</v>
      </c>
      <c r="L18" s="12">
        <v>54.62</v>
      </c>
      <c r="M18" s="12">
        <v>69.22</v>
      </c>
      <c r="N18" s="17">
        <v>169.27</v>
      </c>
      <c r="O18" s="12">
        <v>263.55</v>
      </c>
      <c r="P18" s="12">
        <v>48.81</v>
      </c>
      <c r="Q18" s="12">
        <v>66.16</v>
      </c>
      <c r="R18" s="12">
        <v>148.58000000000001</v>
      </c>
      <c r="S18" s="15">
        <v>283.35000000000002</v>
      </c>
      <c r="T18" s="12">
        <v>50.58</v>
      </c>
      <c r="U18" s="12">
        <v>66.89</v>
      </c>
      <c r="V18" s="17">
        <v>165.88</v>
      </c>
    </row>
    <row r="19" spans="1:22" s="5" customFormat="1">
      <c r="B19" s="6" t="s">
        <v>22</v>
      </c>
      <c r="C19" s="15">
        <v>135.69999999999999</v>
      </c>
      <c r="D19" s="12">
        <v>8.59</v>
      </c>
      <c r="E19" s="12">
        <v>26.91</v>
      </c>
      <c r="F19" s="17">
        <v>100.2</v>
      </c>
      <c r="G19" s="12">
        <v>102.87</v>
      </c>
      <c r="H19" s="12">
        <v>6.29</v>
      </c>
      <c r="I19" s="12">
        <v>8.57</v>
      </c>
      <c r="J19" s="12">
        <v>88.01</v>
      </c>
      <c r="K19" s="15">
        <v>95.4</v>
      </c>
      <c r="L19" s="12">
        <v>5.14</v>
      </c>
      <c r="M19" s="12">
        <v>7.43</v>
      </c>
      <c r="N19" s="17">
        <v>82.83</v>
      </c>
      <c r="O19" s="12">
        <v>103.38</v>
      </c>
      <c r="P19" s="12">
        <v>5.71</v>
      </c>
      <c r="Q19" s="12">
        <v>8.57</v>
      </c>
      <c r="R19" s="12">
        <v>89.1</v>
      </c>
      <c r="S19" s="15">
        <v>112.08</v>
      </c>
      <c r="T19" s="12">
        <v>5.72</v>
      </c>
      <c r="U19" s="12">
        <v>22.87</v>
      </c>
      <c r="V19" s="17">
        <v>83.49</v>
      </c>
    </row>
    <row r="20" spans="1:22" s="5" customFormat="1">
      <c r="A20" s="5">
        <v>1</v>
      </c>
      <c r="B20" s="6" t="s">
        <v>11</v>
      </c>
      <c r="C20" s="15">
        <v>254.48000000000002</v>
      </c>
      <c r="D20" s="12">
        <v>28.1</v>
      </c>
      <c r="E20" s="12">
        <v>81.48</v>
      </c>
      <c r="F20" s="17">
        <v>144.9</v>
      </c>
      <c r="G20" s="12">
        <v>265.39</v>
      </c>
      <c r="H20" s="12">
        <v>36.99</v>
      </c>
      <c r="I20" s="12">
        <v>84.85</v>
      </c>
      <c r="J20" s="12">
        <v>143.55000000000001</v>
      </c>
      <c r="K20" s="15">
        <v>253.89</v>
      </c>
      <c r="L20" s="12">
        <v>41.91</v>
      </c>
      <c r="M20" s="12">
        <v>71.33</v>
      </c>
      <c r="N20" s="17">
        <v>140.65</v>
      </c>
      <c r="O20" s="12">
        <v>237.68</v>
      </c>
      <c r="P20" s="12">
        <v>39.61</v>
      </c>
      <c r="Q20" s="12">
        <v>59.42</v>
      </c>
      <c r="R20" s="12">
        <v>138.65</v>
      </c>
      <c r="S20" s="15">
        <v>240.60999999999999</v>
      </c>
      <c r="T20" s="12">
        <v>41.39</v>
      </c>
      <c r="U20" s="12">
        <v>60.05</v>
      </c>
      <c r="V20" s="17">
        <v>139.16999999999999</v>
      </c>
    </row>
    <row r="21" spans="1:22" s="5" customFormat="1">
      <c r="A21" s="5">
        <v>1</v>
      </c>
      <c r="B21" s="6" t="s">
        <v>4</v>
      </c>
      <c r="C21" s="15">
        <v>225.67</v>
      </c>
      <c r="D21" s="12">
        <v>43.4</v>
      </c>
      <c r="E21" s="12">
        <v>121.51</v>
      </c>
      <c r="F21" s="17">
        <v>60.76</v>
      </c>
      <c r="G21" s="12">
        <v>272.23</v>
      </c>
      <c r="H21" s="12">
        <v>52.21</v>
      </c>
      <c r="I21" s="12">
        <v>151.65</v>
      </c>
      <c r="J21" s="12">
        <v>68.37</v>
      </c>
      <c r="K21" s="15">
        <v>204.66000000000003</v>
      </c>
      <c r="L21" s="12">
        <v>46.17</v>
      </c>
      <c r="M21" s="12">
        <v>81.12</v>
      </c>
      <c r="N21" s="17">
        <v>77.37</v>
      </c>
      <c r="O21" s="12">
        <v>247.92000000000002</v>
      </c>
      <c r="P21" s="12">
        <v>55.09</v>
      </c>
      <c r="Q21" s="12">
        <v>123.96</v>
      </c>
      <c r="R21" s="12">
        <v>68.87</v>
      </c>
      <c r="S21" s="15">
        <v>200.87</v>
      </c>
      <c r="T21" s="12">
        <v>35.15</v>
      </c>
      <c r="U21" s="12">
        <v>104.2</v>
      </c>
      <c r="V21" s="17">
        <v>61.52</v>
      </c>
    </row>
    <row r="22" spans="1:22" s="5" customFormat="1">
      <c r="A22" s="5">
        <v>1</v>
      </c>
      <c r="B22" s="6" t="s">
        <v>2</v>
      </c>
      <c r="C22" s="15">
        <v>253.39</v>
      </c>
      <c r="D22" s="12">
        <v>18.72</v>
      </c>
      <c r="E22" s="12">
        <v>182.84</v>
      </c>
      <c r="F22" s="17">
        <v>51.83</v>
      </c>
      <c r="G22" s="12">
        <v>299.26</v>
      </c>
      <c r="H22" s="12">
        <v>23.13</v>
      </c>
      <c r="I22" s="12">
        <v>209.63</v>
      </c>
      <c r="J22" s="12">
        <v>66.5</v>
      </c>
      <c r="K22" s="15">
        <v>265.74</v>
      </c>
      <c r="L22" s="12">
        <v>27.59</v>
      </c>
      <c r="M22" s="12">
        <v>177.16</v>
      </c>
      <c r="N22" s="17">
        <v>60.99</v>
      </c>
      <c r="O22" s="12">
        <v>291.84999999999997</v>
      </c>
      <c r="P22" s="12">
        <v>27.73</v>
      </c>
      <c r="Q22" s="12">
        <v>214.51</v>
      </c>
      <c r="R22" s="12">
        <v>49.61</v>
      </c>
      <c r="S22" s="15">
        <v>211.59</v>
      </c>
      <c r="T22" s="12">
        <v>22.04</v>
      </c>
      <c r="U22" s="12">
        <v>142.53</v>
      </c>
      <c r="V22" s="17">
        <v>47.02</v>
      </c>
    </row>
    <row r="23" spans="1:22" s="5" customFormat="1">
      <c r="A23" s="5">
        <v>1</v>
      </c>
      <c r="B23" s="6" t="s">
        <v>10</v>
      </c>
      <c r="C23" s="15">
        <v>332.71000000000004</v>
      </c>
      <c r="D23" s="12">
        <v>49.4</v>
      </c>
      <c r="E23" s="12">
        <v>138.68</v>
      </c>
      <c r="F23" s="17">
        <v>144.63</v>
      </c>
      <c r="G23" s="12">
        <v>360.76</v>
      </c>
      <c r="H23" s="12">
        <v>56.65</v>
      </c>
      <c r="I23" s="12">
        <v>178.29</v>
      </c>
      <c r="J23" s="12">
        <v>125.82</v>
      </c>
      <c r="K23" s="15">
        <v>306.57</v>
      </c>
      <c r="L23" s="12">
        <v>54.87</v>
      </c>
      <c r="M23" s="12">
        <v>149.71</v>
      </c>
      <c r="N23" s="17">
        <v>101.99</v>
      </c>
      <c r="O23" s="12">
        <v>253.08</v>
      </c>
      <c r="P23" s="12">
        <v>47.64</v>
      </c>
      <c r="Q23" s="12">
        <v>108.97</v>
      </c>
      <c r="R23" s="12">
        <v>96.47</v>
      </c>
      <c r="S23" s="15">
        <v>239.99</v>
      </c>
      <c r="T23" s="12">
        <v>45.15</v>
      </c>
      <c r="U23" s="12">
        <v>99.8</v>
      </c>
      <c r="V23" s="17">
        <v>95.04</v>
      </c>
    </row>
    <row r="24" spans="1:22" s="5" customFormat="1">
      <c r="B24" s="6" t="s">
        <v>23</v>
      </c>
      <c r="C24" s="15">
        <v>335.38</v>
      </c>
      <c r="D24" s="12">
        <v>42.15</v>
      </c>
      <c r="E24" s="12">
        <v>155.78</v>
      </c>
      <c r="F24" s="17">
        <v>137.44999999999999</v>
      </c>
      <c r="G24" s="12">
        <v>339.37</v>
      </c>
      <c r="H24" s="12">
        <v>54.74</v>
      </c>
      <c r="I24" s="12">
        <v>152.35</v>
      </c>
      <c r="J24" s="12">
        <v>132.28</v>
      </c>
      <c r="K24" s="15">
        <v>287.59000000000003</v>
      </c>
      <c r="L24" s="12">
        <v>51.71</v>
      </c>
      <c r="M24" s="12">
        <v>110.68</v>
      </c>
      <c r="N24" s="17">
        <v>125.2</v>
      </c>
      <c r="O24" s="12">
        <v>299.43</v>
      </c>
      <c r="P24" s="12">
        <v>53.05</v>
      </c>
      <c r="Q24" s="12">
        <v>113.3</v>
      </c>
      <c r="R24" s="12">
        <v>133.08000000000001</v>
      </c>
      <c r="S24" s="15">
        <v>252.32</v>
      </c>
      <c r="T24" s="12">
        <v>54.2</v>
      </c>
      <c r="U24" s="12">
        <v>73.739999999999995</v>
      </c>
      <c r="V24" s="17">
        <v>124.38</v>
      </c>
    </row>
    <row r="25" spans="1:22" s="5" customFormat="1">
      <c r="A25" s="5">
        <v>1</v>
      </c>
      <c r="B25" s="6" t="s">
        <v>13</v>
      </c>
      <c r="C25" s="15">
        <v>433.65</v>
      </c>
      <c r="D25" s="12">
        <v>57.33</v>
      </c>
      <c r="E25" s="12">
        <v>192.32</v>
      </c>
      <c r="F25" s="17">
        <v>184</v>
      </c>
      <c r="G25" s="12">
        <v>475.72</v>
      </c>
      <c r="H25" s="12">
        <v>70.48</v>
      </c>
      <c r="I25" s="12">
        <v>210.5</v>
      </c>
      <c r="J25" s="12">
        <v>194.74</v>
      </c>
      <c r="K25" s="15">
        <v>470.90999999999997</v>
      </c>
      <c r="L25" s="12">
        <v>77.239999999999995</v>
      </c>
      <c r="M25" s="12">
        <v>214.98</v>
      </c>
      <c r="N25" s="17">
        <v>178.69</v>
      </c>
      <c r="O25" s="12">
        <v>400.3</v>
      </c>
      <c r="P25" s="12">
        <v>71.08</v>
      </c>
      <c r="Q25" s="12">
        <v>176.77</v>
      </c>
      <c r="R25" s="12">
        <v>152.44999999999999</v>
      </c>
      <c r="S25" s="15">
        <v>420.77</v>
      </c>
      <c r="T25" s="12">
        <v>87.54</v>
      </c>
      <c r="U25" s="12">
        <v>179.79</v>
      </c>
      <c r="V25" s="17">
        <v>153.44</v>
      </c>
    </row>
    <row r="26" spans="1:22" s="5" customFormat="1">
      <c r="A26" s="5">
        <v>1</v>
      </c>
      <c r="B26" s="6" t="s">
        <v>0</v>
      </c>
      <c r="C26" s="15">
        <v>441.52000000000004</v>
      </c>
      <c r="D26" s="12">
        <v>78.040000000000006</v>
      </c>
      <c r="E26" s="12">
        <v>153.43</v>
      </c>
      <c r="F26" s="17">
        <v>210.05</v>
      </c>
      <c r="G26" s="12">
        <v>521.65000000000009</v>
      </c>
      <c r="H26" s="12">
        <v>98.62</v>
      </c>
      <c r="I26" s="12">
        <v>184.84</v>
      </c>
      <c r="J26" s="12">
        <v>238.19</v>
      </c>
      <c r="K26" s="15">
        <v>431.7</v>
      </c>
      <c r="L26" s="12">
        <v>90.59</v>
      </c>
      <c r="M26" s="12">
        <v>139.32</v>
      </c>
      <c r="N26" s="17">
        <v>201.79</v>
      </c>
      <c r="O26" s="12">
        <v>407.23</v>
      </c>
      <c r="P26" s="12">
        <v>87.22</v>
      </c>
      <c r="Q26" s="12">
        <v>134.91</v>
      </c>
      <c r="R26" s="12">
        <v>185.1</v>
      </c>
      <c r="S26" s="15">
        <v>389.95</v>
      </c>
      <c r="T26" s="12">
        <v>76.099999999999994</v>
      </c>
      <c r="U26" s="12">
        <v>127.68</v>
      </c>
      <c r="V26" s="17">
        <v>186.17</v>
      </c>
    </row>
    <row r="27" spans="1:22" s="5" customFormat="1">
      <c r="A27" s="5">
        <v>1</v>
      </c>
      <c r="B27" s="6" t="s">
        <v>24</v>
      </c>
      <c r="C27" s="15">
        <v>216.25</v>
      </c>
      <c r="D27" s="12">
        <v>52.37</v>
      </c>
      <c r="E27" s="12">
        <v>75.150000000000006</v>
      </c>
      <c r="F27" s="17">
        <v>88.73</v>
      </c>
      <c r="G27" s="12">
        <v>252.99</v>
      </c>
      <c r="H27" s="12">
        <v>45.07</v>
      </c>
      <c r="I27" s="12">
        <v>134.25</v>
      </c>
      <c r="J27" s="12">
        <v>73.67</v>
      </c>
      <c r="K27" s="15">
        <v>207.87</v>
      </c>
      <c r="L27" s="12">
        <v>41.19</v>
      </c>
      <c r="M27" s="12">
        <v>109.99</v>
      </c>
      <c r="N27" s="17">
        <v>56.69</v>
      </c>
      <c r="O27" s="12">
        <v>174.44</v>
      </c>
      <c r="P27" s="12">
        <v>27.62</v>
      </c>
      <c r="Q27" s="12">
        <v>106.12</v>
      </c>
      <c r="R27" s="12">
        <v>40.700000000000003</v>
      </c>
      <c r="S27" s="15">
        <v>136.17000000000002</v>
      </c>
      <c r="T27" s="12">
        <v>26.65</v>
      </c>
      <c r="U27" s="12">
        <v>71.72</v>
      </c>
      <c r="V27" s="17">
        <v>37.799999999999997</v>
      </c>
    </row>
    <row r="28" spans="1:22" s="5" customFormat="1">
      <c r="A28" s="5">
        <v>1</v>
      </c>
      <c r="B28" s="6" t="s">
        <v>5</v>
      </c>
      <c r="C28" s="15">
        <v>385.77</v>
      </c>
      <c r="D28" s="12">
        <v>65.73</v>
      </c>
      <c r="E28" s="12">
        <v>106.24</v>
      </c>
      <c r="F28" s="17">
        <v>213.8</v>
      </c>
      <c r="G28" s="12">
        <v>475.63</v>
      </c>
      <c r="H28" s="12">
        <v>80.83</v>
      </c>
      <c r="I28" s="12">
        <v>183.04</v>
      </c>
      <c r="J28" s="12">
        <v>211.76</v>
      </c>
      <c r="K28" s="15">
        <v>447.46000000000004</v>
      </c>
      <c r="L28" s="12">
        <v>80.62</v>
      </c>
      <c r="M28" s="12">
        <v>154.53</v>
      </c>
      <c r="N28" s="17">
        <v>212.31</v>
      </c>
      <c r="O28" s="12">
        <v>457.14</v>
      </c>
      <c r="P28" s="12">
        <v>84.53</v>
      </c>
      <c r="Q28" s="12">
        <v>152.83000000000001</v>
      </c>
      <c r="R28" s="12">
        <v>219.78</v>
      </c>
      <c r="S28" s="15">
        <v>469.29</v>
      </c>
      <c r="T28" s="12">
        <v>93.31</v>
      </c>
      <c r="U28" s="12">
        <v>128.05000000000001</v>
      </c>
      <c r="V28" s="17">
        <v>247.93</v>
      </c>
    </row>
    <row r="29" spans="1:22" s="5" customFormat="1">
      <c r="A29" s="5">
        <v>1</v>
      </c>
      <c r="B29" s="6" t="s">
        <v>7</v>
      </c>
      <c r="C29" s="15">
        <v>269.14</v>
      </c>
      <c r="D29" s="12">
        <v>62.43</v>
      </c>
      <c r="E29" s="12">
        <v>94.34</v>
      </c>
      <c r="F29" s="17">
        <v>112.37</v>
      </c>
      <c r="G29" s="12">
        <v>311.59000000000003</v>
      </c>
      <c r="H29" s="12">
        <v>76.150000000000006</v>
      </c>
      <c r="I29" s="12">
        <v>147.41</v>
      </c>
      <c r="J29" s="12">
        <v>88.03</v>
      </c>
      <c r="K29" s="15">
        <v>309.60000000000002</v>
      </c>
      <c r="L29" s="12">
        <v>78.81</v>
      </c>
      <c r="M29" s="12">
        <v>145.65</v>
      </c>
      <c r="N29" s="17">
        <v>85.14</v>
      </c>
      <c r="O29" s="12">
        <v>345.92</v>
      </c>
      <c r="P29" s="12">
        <v>82.23</v>
      </c>
      <c r="Q29" s="12">
        <v>166.58</v>
      </c>
      <c r="R29" s="12">
        <v>97.11</v>
      </c>
      <c r="S29" s="15">
        <v>335.55</v>
      </c>
      <c r="T29" s="12">
        <v>95.87</v>
      </c>
      <c r="U29" s="12">
        <v>137.37</v>
      </c>
      <c r="V29" s="17">
        <v>102.31</v>
      </c>
    </row>
    <row r="30" spans="1:22" s="5" customFormat="1">
      <c r="B30" s="6" t="s">
        <v>14</v>
      </c>
      <c r="C30" s="15">
        <v>163.13</v>
      </c>
      <c r="D30" s="12">
        <v>24.63</v>
      </c>
      <c r="E30" s="12">
        <v>63.44</v>
      </c>
      <c r="F30" s="17">
        <v>75.06</v>
      </c>
      <c r="G30" s="12">
        <v>183.93</v>
      </c>
      <c r="H30" s="12">
        <v>29.89</v>
      </c>
      <c r="I30" s="12">
        <v>78.61</v>
      </c>
      <c r="J30" s="12">
        <v>75.430000000000007</v>
      </c>
      <c r="K30" s="15">
        <v>163.81</v>
      </c>
      <c r="L30" s="12">
        <v>28.54</v>
      </c>
      <c r="M30" s="12">
        <v>65.41</v>
      </c>
      <c r="N30" s="17">
        <v>69.86</v>
      </c>
      <c r="O30" s="12">
        <v>155.81</v>
      </c>
      <c r="P30" s="12">
        <v>27.05</v>
      </c>
      <c r="Q30" s="12">
        <v>64.260000000000005</v>
      </c>
      <c r="R30" s="12">
        <v>64.5</v>
      </c>
      <c r="S30" s="15">
        <v>146.24</v>
      </c>
      <c r="T30" s="12">
        <v>27.22</v>
      </c>
      <c r="U30" s="12">
        <v>56.27</v>
      </c>
      <c r="V30" s="17">
        <v>62.75</v>
      </c>
    </row>
    <row r="31" spans="1:22" s="5" customFormat="1">
      <c r="A31" s="5">
        <v>1</v>
      </c>
      <c r="B31" s="6" t="s">
        <v>3</v>
      </c>
      <c r="C31" s="15">
        <v>438.70000000000005</v>
      </c>
      <c r="D31" s="12">
        <v>46.29</v>
      </c>
      <c r="E31" s="12">
        <v>184.08</v>
      </c>
      <c r="F31" s="17">
        <v>208.33</v>
      </c>
      <c r="G31" s="12">
        <v>506.65999999999997</v>
      </c>
      <c r="H31" s="12">
        <v>72.540000000000006</v>
      </c>
      <c r="I31" s="12">
        <v>229.7</v>
      </c>
      <c r="J31" s="12">
        <v>204.42</v>
      </c>
      <c r="K31" s="15">
        <v>428.06</v>
      </c>
      <c r="L31" s="12">
        <v>55.41</v>
      </c>
      <c r="M31" s="12">
        <v>217.29</v>
      </c>
      <c r="N31" s="17">
        <v>155.36000000000001</v>
      </c>
      <c r="O31" s="12">
        <v>441.34000000000003</v>
      </c>
      <c r="P31" s="12">
        <v>56.39</v>
      </c>
      <c r="Q31" s="12">
        <v>253.74</v>
      </c>
      <c r="R31" s="12">
        <v>131.21</v>
      </c>
      <c r="S31" s="15">
        <v>368.13</v>
      </c>
      <c r="T31" s="12">
        <v>47.64</v>
      </c>
      <c r="U31" s="12">
        <v>212.22</v>
      </c>
      <c r="V31" s="17">
        <v>108.27</v>
      </c>
    </row>
    <row r="32" spans="1:22" s="5" customFormat="1">
      <c r="A32" s="5">
        <v>1</v>
      </c>
      <c r="B32" s="6" t="s">
        <v>6</v>
      </c>
      <c r="C32" s="15">
        <v>444.16999999999996</v>
      </c>
      <c r="D32" s="12">
        <v>69.319999999999993</v>
      </c>
      <c r="E32" s="12">
        <v>143.78</v>
      </c>
      <c r="F32" s="17">
        <v>231.07</v>
      </c>
      <c r="G32" s="12">
        <v>489.37</v>
      </c>
      <c r="H32" s="12">
        <v>93.61</v>
      </c>
      <c r="I32" s="12">
        <v>166.57</v>
      </c>
      <c r="J32" s="12">
        <v>229.19</v>
      </c>
      <c r="K32" s="15">
        <v>486.83000000000004</v>
      </c>
      <c r="L32" s="12">
        <v>92.82</v>
      </c>
      <c r="M32" s="12">
        <v>162.93</v>
      </c>
      <c r="N32" s="17">
        <v>231.08</v>
      </c>
      <c r="O32" s="12">
        <v>439.49</v>
      </c>
      <c r="P32" s="12">
        <v>88.68</v>
      </c>
      <c r="Q32" s="12">
        <v>154.54</v>
      </c>
      <c r="R32" s="12">
        <v>196.27</v>
      </c>
      <c r="S32" s="15">
        <v>405.85</v>
      </c>
      <c r="T32" s="12">
        <v>84.44</v>
      </c>
      <c r="U32" s="12">
        <v>149.25</v>
      </c>
      <c r="V32" s="17">
        <v>172.16</v>
      </c>
    </row>
    <row r="33" spans="2:22" s="5" customFormat="1">
      <c r="B33" s="6" t="s">
        <v>9</v>
      </c>
      <c r="C33" s="15">
        <v>164.82999999999998</v>
      </c>
      <c r="D33" s="12">
        <v>26.61</v>
      </c>
      <c r="E33" s="12">
        <v>70.22</v>
      </c>
      <c r="F33" s="17">
        <v>68</v>
      </c>
      <c r="G33" s="12">
        <v>238.75</v>
      </c>
      <c r="H33" s="12">
        <v>39.67</v>
      </c>
      <c r="I33" s="12">
        <v>118.27</v>
      </c>
      <c r="J33" s="12">
        <v>80.81</v>
      </c>
      <c r="K33" s="15">
        <v>178.01</v>
      </c>
      <c r="L33" s="12">
        <v>34.29</v>
      </c>
      <c r="M33" s="12">
        <v>66.39</v>
      </c>
      <c r="N33" s="17">
        <v>77.33</v>
      </c>
      <c r="O33" s="12">
        <v>166.41000000000003</v>
      </c>
      <c r="P33" s="12">
        <v>38.35</v>
      </c>
      <c r="Q33" s="12">
        <v>59.33</v>
      </c>
      <c r="R33" s="12">
        <v>68.73</v>
      </c>
      <c r="S33" s="15">
        <v>160.41000000000003</v>
      </c>
      <c r="T33" s="12">
        <v>36.520000000000003</v>
      </c>
      <c r="U33" s="12">
        <v>53.71</v>
      </c>
      <c r="V33" s="17">
        <v>70.180000000000007</v>
      </c>
    </row>
    <row r="34" spans="2:22" s="5" customFormat="1">
      <c r="B34" s="6" t="s">
        <v>12</v>
      </c>
      <c r="C34" s="15">
        <v>200.35</v>
      </c>
      <c r="D34" s="12">
        <v>30.17</v>
      </c>
      <c r="E34" s="12">
        <v>120.09</v>
      </c>
      <c r="F34" s="17">
        <v>50.09</v>
      </c>
      <c r="G34" s="12">
        <v>223.67</v>
      </c>
      <c r="H34" s="12">
        <v>35.86</v>
      </c>
      <c r="I34" s="12">
        <v>127.03</v>
      </c>
      <c r="J34" s="12">
        <v>60.78</v>
      </c>
      <c r="K34" s="15">
        <v>186.66</v>
      </c>
      <c r="L34" s="12">
        <v>35</v>
      </c>
      <c r="M34" s="12">
        <v>97.01</v>
      </c>
      <c r="N34" s="17">
        <v>54.65</v>
      </c>
      <c r="O34" s="12">
        <v>169.58</v>
      </c>
      <c r="P34" s="12">
        <v>25.47</v>
      </c>
      <c r="Q34" s="12">
        <v>100.01</v>
      </c>
      <c r="R34" s="12">
        <v>44.1</v>
      </c>
      <c r="S34" s="15">
        <v>143.56</v>
      </c>
      <c r="T34" s="12">
        <v>22.67</v>
      </c>
      <c r="U34" s="12">
        <v>87.52</v>
      </c>
      <c r="V34" s="17">
        <v>33.369999999999997</v>
      </c>
    </row>
  </sheetData>
  <sortState xmlns:xlrd2="http://schemas.microsoft.com/office/spreadsheetml/2017/richdata2" ref="B14:V34">
    <sortCondition ref="B14:B34"/>
  </sortState>
  <phoneticPr fontId="10" type="noConversion"/>
  <conditionalFormatting sqref="B14:G32">
    <cfRule type="expression" dxfId="27" priority="18">
      <formula>ISODD(ROW())</formula>
    </cfRule>
  </conditionalFormatting>
  <conditionalFormatting sqref="B33:G33">
    <cfRule type="expression" dxfId="26" priority="17">
      <formula>ISODD(ROW())</formula>
    </cfRule>
  </conditionalFormatting>
  <conditionalFormatting sqref="B34:G34">
    <cfRule type="expression" dxfId="25" priority="16">
      <formula>ISODD(ROW())</formula>
    </cfRule>
  </conditionalFormatting>
  <conditionalFormatting sqref="H14:J32">
    <cfRule type="expression" dxfId="24" priority="15">
      <formula>ISODD(ROW())</formula>
    </cfRule>
  </conditionalFormatting>
  <conditionalFormatting sqref="H33:J33">
    <cfRule type="expression" dxfId="23" priority="14">
      <formula>ISODD(ROW())</formula>
    </cfRule>
  </conditionalFormatting>
  <conditionalFormatting sqref="H34:J34">
    <cfRule type="expression" dxfId="22" priority="13">
      <formula>ISODD(ROW())</formula>
    </cfRule>
  </conditionalFormatting>
  <conditionalFormatting sqref="O14:Q32">
    <cfRule type="expression" dxfId="21" priority="12">
      <formula>ISODD(ROW())</formula>
    </cfRule>
  </conditionalFormatting>
  <conditionalFormatting sqref="O33:Q33">
    <cfRule type="expression" dxfId="20" priority="11">
      <formula>ISODD(ROW())</formula>
    </cfRule>
  </conditionalFormatting>
  <conditionalFormatting sqref="O34:Q34">
    <cfRule type="expression" dxfId="19" priority="10">
      <formula>ISODD(ROW())</formula>
    </cfRule>
  </conditionalFormatting>
  <conditionalFormatting sqref="R14:R32">
    <cfRule type="expression" dxfId="18" priority="9">
      <formula>ISODD(ROW())</formula>
    </cfRule>
  </conditionalFormatting>
  <conditionalFormatting sqref="R33">
    <cfRule type="expression" dxfId="17" priority="8">
      <formula>ISODD(ROW())</formula>
    </cfRule>
  </conditionalFormatting>
  <conditionalFormatting sqref="R34">
    <cfRule type="expression" dxfId="16" priority="7">
      <formula>ISODD(ROW())</formula>
    </cfRule>
  </conditionalFormatting>
  <conditionalFormatting sqref="K14:N32">
    <cfRule type="expression" dxfId="15" priority="6">
      <formula>ISODD(ROW())</formula>
    </cfRule>
  </conditionalFormatting>
  <conditionalFormatting sqref="K33:N33">
    <cfRule type="expression" dxfId="14" priority="5">
      <formula>ISODD(ROW())</formula>
    </cfRule>
  </conditionalFormatting>
  <conditionalFormatting sqref="K34:N34">
    <cfRule type="expression" dxfId="13" priority="4">
      <formula>ISODD(ROW())</formula>
    </cfRule>
  </conditionalFormatting>
  <conditionalFormatting sqref="S14:V32">
    <cfRule type="expression" dxfId="12" priority="3">
      <formula>ISODD(ROW())</formula>
    </cfRule>
  </conditionalFormatting>
  <conditionalFormatting sqref="S33:V33">
    <cfRule type="expression" dxfId="11" priority="2">
      <formula>ISODD(ROW())</formula>
    </cfRule>
  </conditionalFormatting>
  <conditionalFormatting sqref="S34:V34">
    <cfRule type="expression" dxfId="1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B08E-0C1C-47C1-A296-687ABB838CFA}">
  <sheetPr codeName="Sheet5">
    <tabColor theme="4"/>
  </sheetPr>
  <dimension ref="A7:S44"/>
  <sheetViews>
    <sheetView zoomScaleNormal="100" workbookViewId="0">
      <pane xSplit="1" topLeftCell="B1" activePane="topRight" state="frozen"/>
      <selection activeCell="A8" sqref="A8"/>
      <selection pane="topRight" activeCell="B30" sqref="B30:E30"/>
    </sheetView>
  </sheetViews>
  <sheetFormatPr baseColWidth="10" defaultColWidth="8.83203125" defaultRowHeight="15"/>
  <cols>
    <col min="1" max="1" width="3.83203125" style="4" customWidth="1"/>
    <col min="2" max="2" width="49.5" style="4" bestFit="1" customWidth="1"/>
    <col min="3" max="17" width="12.83203125" style="4" customWidth="1"/>
    <col min="18" max="16384" width="8.83203125" style="4"/>
  </cols>
  <sheetData>
    <row r="7" spans="1:17" ht="18">
      <c r="B7" s="3" t="s">
        <v>18</v>
      </c>
    </row>
    <row r="8" spans="1:17" ht="18">
      <c r="B8" s="3" t="s">
        <v>58</v>
      </c>
    </row>
    <row r="9" spans="1:17">
      <c r="B9" s="4" t="s">
        <v>69</v>
      </c>
      <c r="H9" s="8" t="s">
        <v>16</v>
      </c>
    </row>
    <row r="12" spans="1:17" s="5" customFormat="1" ht="16">
      <c r="C12" s="18">
        <v>2020</v>
      </c>
      <c r="D12" s="19"/>
      <c r="E12" s="20"/>
      <c r="F12" s="21">
        <v>2019</v>
      </c>
      <c r="G12" s="21"/>
      <c r="H12" s="21"/>
      <c r="I12" s="18">
        <v>2018</v>
      </c>
      <c r="J12" s="19"/>
      <c r="K12" s="20"/>
      <c r="L12" s="21">
        <v>2017</v>
      </c>
      <c r="M12" s="21"/>
      <c r="N12" s="21"/>
      <c r="O12" s="18">
        <v>2016</v>
      </c>
      <c r="P12" s="19"/>
      <c r="Q12" s="20"/>
    </row>
    <row r="13" spans="1:17" s="5" customFormat="1" ht="51">
      <c r="B13" s="7" t="s">
        <v>26</v>
      </c>
      <c r="C13" s="14" t="s">
        <v>59</v>
      </c>
      <c r="D13" s="11" t="s">
        <v>60</v>
      </c>
      <c r="E13" s="16" t="s">
        <v>61</v>
      </c>
      <c r="F13" s="13" t="s">
        <v>59</v>
      </c>
      <c r="G13" s="13" t="s">
        <v>60</v>
      </c>
      <c r="H13" s="13" t="s">
        <v>61</v>
      </c>
      <c r="I13" s="14" t="s">
        <v>59</v>
      </c>
      <c r="J13" s="11" t="s">
        <v>60</v>
      </c>
      <c r="K13" s="16" t="s">
        <v>61</v>
      </c>
      <c r="L13" s="13" t="s">
        <v>59</v>
      </c>
      <c r="M13" s="13" t="s">
        <v>60</v>
      </c>
      <c r="N13" s="13" t="s">
        <v>61</v>
      </c>
      <c r="O13" s="14" t="s">
        <v>59</v>
      </c>
      <c r="P13" s="11" t="s">
        <v>60</v>
      </c>
      <c r="Q13" s="16" t="s">
        <v>61</v>
      </c>
    </row>
    <row r="14" spans="1:17" s="5" customFormat="1">
      <c r="A14" s="5">
        <v>1</v>
      </c>
      <c r="B14" s="6" t="s">
        <v>8</v>
      </c>
      <c r="C14" s="15">
        <v>151.12</v>
      </c>
      <c r="D14" s="12">
        <v>95.19</v>
      </c>
      <c r="E14" s="17">
        <v>55.93</v>
      </c>
      <c r="F14" s="12">
        <v>167.54000000000002</v>
      </c>
      <c r="G14" s="12">
        <v>93.5</v>
      </c>
      <c r="H14" s="12">
        <v>74.040000000000006</v>
      </c>
      <c r="I14" s="15">
        <v>123.68</v>
      </c>
      <c r="J14" s="12">
        <v>77.17</v>
      </c>
      <c r="K14" s="17">
        <v>46.51</v>
      </c>
      <c r="L14" s="12">
        <v>100.03</v>
      </c>
      <c r="M14" s="12">
        <v>68.959999999999994</v>
      </c>
      <c r="N14" s="12">
        <v>31.07</v>
      </c>
      <c r="O14" s="15">
        <v>96.51</v>
      </c>
      <c r="P14" s="12">
        <v>60.88</v>
      </c>
      <c r="Q14" s="17">
        <v>35.630000000000003</v>
      </c>
    </row>
    <row r="15" spans="1:17" s="5" customFormat="1">
      <c r="A15" s="5">
        <v>1</v>
      </c>
      <c r="B15" s="6" t="s">
        <v>19</v>
      </c>
      <c r="C15" s="15">
        <v>252</v>
      </c>
      <c r="D15" s="12">
        <v>178.06</v>
      </c>
      <c r="E15" s="17">
        <v>73.94</v>
      </c>
      <c r="F15" s="12">
        <v>269.65999999999997</v>
      </c>
      <c r="G15" s="12">
        <v>169.82</v>
      </c>
      <c r="H15" s="12">
        <v>99.84</v>
      </c>
      <c r="I15" s="15">
        <v>205.76</v>
      </c>
      <c r="J15" s="12">
        <v>144.37</v>
      </c>
      <c r="K15" s="17">
        <v>61.39</v>
      </c>
      <c r="L15" s="12">
        <v>197.18</v>
      </c>
      <c r="M15" s="12">
        <v>133.56</v>
      </c>
      <c r="N15" s="12">
        <v>63.62</v>
      </c>
      <c r="O15" s="15">
        <v>175.18</v>
      </c>
      <c r="P15" s="12">
        <v>134.22</v>
      </c>
      <c r="Q15" s="17">
        <v>40.96</v>
      </c>
    </row>
    <row r="16" spans="1:17" s="5" customFormat="1">
      <c r="B16" s="6" t="s">
        <v>20</v>
      </c>
      <c r="C16" s="15">
        <v>367.87</v>
      </c>
      <c r="D16" s="12">
        <v>249.58</v>
      </c>
      <c r="E16" s="17">
        <v>118.29</v>
      </c>
      <c r="F16" s="12">
        <v>335.33</v>
      </c>
      <c r="G16" s="12">
        <v>235.2</v>
      </c>
      <c r="H16" s="12">
        <v>100.13</v>
      </c>
      <c r="I16" s="15">
        <v>376.84000000000003</v>
      </c>
      <c r="J16" s="12">
        <v>235.74</v>
      </c>
      <c r="K16" s="17">
        <v>141.1</v>
      </c>
      <c r="L16" s="12">
        <v>227.20000000000002</v>
      </c>
      <c r="M16" s="12">
        <v>178.77</v>
      </c>
      <c r="N16" s="12">
        <v>48.43</v>
      </c>
      <c r="O16" s="15">
        <v>260.52</v>
      </c>
      <c r="P16" s="12">
        <v>198.72</v>
      </c>
      <c r="Q16" s="17">
        <v>61.8</v>
      </c>
    </row>
    <row r="17" spans="1:19" s="5" customFormat="1">
      <c r="B17" s="6" t="s">
        <v>21</v>
      </c>
      <c r="C17" s="15">
        <v>414.24</v>
      </c>
      <c r="D17" s="12">
        <v>223.31</v>
      </c>
      <c r="E17" s="17">
        <v>190.93</v>
      </c>
      <c r="F17" s="12">
        <v>361.05</v>
      </c>
      <c r="G17" s="12">
        <v>208.96</v>
      </c>
      <c r="H17" s="12">
        <v>152.09</v>
      </c>
      <c r="I17" s="15">
        <v>253.8</v>
      </c>
      <c r="J17" s="12">
        <v>135.08000000000001</v>
      </c>
      <c r="K17" s="17">
        <v>118.72</v>
      </c>
      <c r="L17" s="12">
        <v>198.35</v>
      </c>
      <c r="M17" s="12">
        <v>114.21</v>
      </c>
      <c r="N17" s="12">
        <v>84.14</v>
      </c>
      <c r="O17" s="15">
        <v>215.99</v>
      </c>
      <c r="P17" s="12">
        <v>122.96</v>
      </c>
      <c r="Q17" s="17">
        <v>93.03</v>
      </c>
    </row>
    <row r="18" spans="1:19" s="5" customFormat="1">
      <c r="A18" s="5">
        <v>1</v>
      </c>
      <c r="B18" s="6" t="s">
        <v>1</v>
      </c>
      <c r="C18" s="15">
        <v>266.90999999999997</v>
      </c>
      <c r="D18" s="12">
        <v>208.94</v>
      </c>
      <c r="E18" s="17">
        <v>57.97</v>
      </c>
      <c r="F18" s="12">
        <v>257.38</v>
      </c>
      <c r="G18" s="12">
        <v>180.57</v>
      </c>
      <c r="H18" s="12">
        <v>76.81</v>
      </c>
      <c r="I18" s="15">
        <v>235.25</v>
      </c>
      <c r="J18" s="12">
        <v>169.03</v>
      </c>
      <c r="K18" s="17">
        <v>66.22</v>
      </c>
      <c r="L18" s="12">
        <v>172.32</v>
      </c>
      <c r="M18" s="12">
        <v>142.75</v>
      </c>
      <c r="N18" s="12">
        <v>29.57</v>
      </c>
      <c r="O18" s="15">
        <v>186.18</v>
      </c>
      <c r="P18" s="12">
        <v>140.97999999999999</v>
      </c>
      <c r="Q18" s="17">
        <v>45.2</v>
      </c>
    </row>
    <row r="19" spans="1:19" s="5" customFormat="1">
      <c r="B19" s="6" t="s">
        <v>22</v>
      </c>
      <c r="C19" s="15"/>
      <c r="D19" s="12"/>
      <c r="E19" s="17"/>
      <c r="F19" s="12"/>
      <c r="G19" s="12"/>
      <c r="H19" s="12"/>
      <c r="I19" s="15"/>
      <c r="J19" s="12"/>
      <c r="K19" s="17"/>
      <c r="L19" s="12"/>
      <c r="M19" s="12"/>
      <c r="N19" s="12"/>
      <c r="O19" s="15"/>
      <c r="P19" s="12"/>
      <c r="Q19" s="17"/>
    </row>
    <row r="20" spans="1:19" s="5" customFormat="1">
      <c r="A20" s="5">
        <v>1</v>
      </c>
      <c r="B20" s="6" t="s">
        <v>11</v>
      </c>
      <c r="C20" s="15">
        <v>237.60000000000002</v>
      </c>
      <c r="D20" s="12">
        <v>147.77000000000001</v>
      </c>
      <c r="E20" s="17">
        <v>89.83</v>
      </c>
      <c r="F20" s="12">
        <v>237.88</v>
      </c>
      <c r="G20" s="12">
        <v>156.94999999999999</v>
      </c>
      <c r="H20" s="12">
        <v>80.930000000000007</v>
      </c>
      <c r="I20" s="15">
        <v>217.60000000000002</v>
      </c>
      <c r="J20" s="12">
        <v>144.36000000000001</v>
      </c>
      <c r="K20" s="17">
        <v>73.239999999999995</v>
      </c>
      <c r="L20" s="12">
        <v>181.56</v>
      </c>
      <c r="M20" s="12">
        <v>96.19</v>
      </c>
      <c r="N20" s="12">
        <v>85.37</v>
      </c>
      <c r="O20" s="15">
        <v>194.52999999999997</v>
      </c>
      <c r="P20" s="12">
        <v>106.32</v>
      </c>
      <c r="Q20" s="17">
        <v>88.21</v>
      </c>
    </row>
    <row r="21" spans="1:19" s="5" customFormat="1">
      <c r="A21" s="5">
        <v>1</v>
      </c>
      <c r="B21" s="6" t="s">
        <v>4</v>
      </c>
      <c r="C21" s="15">
        <v>276.62</v>
      </c>
      <c r="D21" s="12">
        <v>164.4</v>
      </c>
      <c r="E21" s="17">
        <v>112.22</v>
      </c>
      <c r="F21" s="12">
        <v>284.23</v>
      </c>
      <c r="G21" s="12">
        <v>150.41999999999999</v>
      </c>
      <c r="H21" s="12">
        <v>133.81</v>
      </c>
      <c r="I21" s="15">
        <v>295.02999999999997</v>
      </c>
      <c r="J21" s="12">
        <v>153.94</v>
      </c>
      <c r="K21" s="17">
        <v>141.09</v>
      </c>
      <c r="L21" s="12">
        <v>231.32</v>
      </c>
      <c r="M21" s="12">
        <v>133.09</v>
      </c>
      <c r="N21" s="12">
        <v>98.23</v>
      </c>
      <c r="O21" s="15">
        <v>213.41</v>
      </c>
      <c r="P21" s="12">
        <v>137.75</v>
      </c>
      <c r="Q21" s="17">
        <v>75.66</v>
      </c>
    </row>
    <row r="22" spans="1:19" s="5" customFormat="1">
      <c r="A22" s="5">
        <v>1</v>
      </c>
      <c r="B22" s="6" t="s">
        <v>2</v>
      </c>
      <c r="C22" s="15">
        <v>226.46</v>
      </c>
      <c r="D22" s="12">
        <v>180.62</v>
      </c>
      <c r="E22" s="17">
        <v>45.84</v>
      </c>
      <c r="F22" s="12">
        <v>255.31</v>
      </c>
      <c r="G22" s="12">
        <v>199.61</v>
      </c>
      <c r="H22" s="12">
        <v>55.7</v>
      </c>
      <c r="I22" s="15">
        <v>229.89000000000001</v>
      </c>
      <c r="J22" s="12">
        <v>176.3</v>
      </c>
      <c r="K22" s="17">
        <v>53.59</v>
      </c>
      <c r="L22" s="12">
        <v>159.65</v>
      </c>
      <c r="M22" s="12">
        <v>121.13</v>
      </c>
      <c r="N22" s="12">
        <v>38.520000000000003</v>
      </c>
      <c r="O22" s="15">
        <v>157.37</v>
      </c>
      <c r="P22" s="12">
        <v>125.35</v>
      </c>
      <c r="Q22" s="17">
        <v>32.020000000000003</v>
      </c>
    </row>
    <row r="23" spans="1:19" s="5" customFormat="1">
      <c r="A23" s="5">
        <v>1</v>
      </c>
      <c r="B23" s="6" t="s">
        <v>10</v>
      </c>
      <c r="C23" s="15">
        <v>272.53999999999996</v>
      </c>
      <c r="D23" s="12">
        <v>188.79</v>
      </c>
      <c r="E23" s="17">
        <v>83.75</v>
      </c>
      <c r="F23" s="12">
        <v>258.05</v>
      </c>
      <c r="G23" s="12">
        <v>188.68</v>
      </c>
      <c r="H23" s="12">
        <v>69.37</v>
      </c>
      <c r="I23" s="15">
        <v>196.63</v>
      </c>
      <c r="J23" s="12">
        <v>144.58000000000001</v>
      </c>
      <c r="K23" s="17">
        <v>52.05</v>
      </c>
      <c r="L23" s="12">
        <v>178.13</v>
      </c>
      <c r="M23" s="12">
        <v>125.46</v>
      </c>
      <c r="N23" s="12">
        <v>52.67</v>
      </c>
      <c r="O23" s="15">
        <v>196.38</v>
      </c>
      <c r="P23" s="12">
        <v>155.94</v>
      </c>
      <c r="Q23" s="17">
        <v>40.44</v>
      </c>
    </row>
    <row r="24" spans="1:19" s="5" customFormat="1">
      <c r="B24" s="6" t="s">
        <v>23</v>
      </c>
      <c r="C24" s="15">
        <v>304.66000000000003</v>
      </c>
      <c r="D24" s="12">
        <v>180.52</v>
      </c>
      <c r="E24" s="17">
        <v>124.14</v>
      </c>
      <c r="F24" s="12">
        <v>326.82</v>
      </c>
      <c r="G24" s="12">
        <v>183.01</v>
      </c>
      <c r="H24" s="12">
        <v>143.81</v>
      </c>
      <c r="I24" s="15">
        <v>311.86</v>
      </c>
      <c r="J24" s="12">
        <v>158.36000000000001</v>
      </c>
      <c r="K24" s="17">
        <v>153.5</v>
      </c>
      <c r="L24" s="12">
        <v>275.43</v>
      </c>
      <c r="M24" s="12">
        <v>149.80000000000001</v>
      </c>
      <c r="N24" s="12">
        <v>125.63</v>
      </c>
      <c r="O24" s="15">
        <v>243.02</v>
      </c>
      <c r="P24" s="12">
        <v>155.05000000000001</v>
      </c>
      <c r="Q24" s="17">
        <v>87.97</v>
      </c>
    </row>
    <row r="25" spans="1:19" s="5" customFormat="1">
      <c r="A25" s="5">
        <v>1</v>
      </c>
      <c r="B25" s="6" t="s">
        <v>13</v>
      </c>
      <c r="C25" s="15">
        <v>358.9</v>
      </c>
      <c r="D25" s="12">
        <v>240.75</v>
      </c>
      <c r="E25" s="17">
        <v>118.15</v>
      </c>
      <c r="F25" s="12">
        <v>424.08000000000004</v>
      </c>
      <c r="G25" s="12">
        <v>297.85000000000002</v>
      </c>
      <c r="H25" s="12">
        <v>126.23</v>
      </c>
      <c r="I25" s="15">
        <v>354.56</v>
      </c>
      <c r="J25" s="12">
        <v>248.88</v>
      </c>
      <c r="K25" s="17">
        <v>105.68</v>
      </c>
      <c r="L25" s="12">
        <v>297.14</v>
      </c>
      <c r="M25" s="12">
        <v>212.79</v>
      </c>
      <c r="N25" s="12">
        <v>84.35</v>
      </c>
      <c r="O25" s="15">
        <v>377.56</v>
      </c>
      <c r="P25" s="12">
        <v>266.79000000000002</v>
      </c>
      <c r="Q25" s="17">
        <v>110.77</v>
      </c>
    </row>
    <row r="26" spans="1:19" s="5" customFormat="1">
      <c r="A26" s="5">
        <v>1</v>
      </c>
      <c r="B26" s="6" t="s">
        <v>0</v>
      </c>
      <c r="C26" s="15">
        <v>435.28000000000003</v>
      </c>
      <c r="D26" s="12">
        <v>303.42</v>
      </c>
      <c r="E26" s="17">
        <v>131.86000000000001</v>
      </c>
      <c r="F26" s="12">
        <v>449.75</v>
      </c>
      <c r="G26" s="12">
        <v>300.64</v>
      </c>
      <c r="H26" s="12">
        <v>149.11000000000001</v>
      </c>
      <c r="I26" s="15">
        <v>453.06000000000006</v>
      </c>
      <c r="J26" s="12">
        <v>317.60000000000002</v>
      </c>
      <c r="K26" s="17">
        <v>135.46</v>
      </c>
      <c r="L26" s="12">
        <v>295.58000000000004</v>
      </c>
      <c r="M26" s="12">
        <v>232.49</v>
      </c>
      <c r="N26" s="12">
        <v>63.09</v>
      </c>
      <c r="O26" s="15">
        <v>315.36</v>
      </c>
      <c r="P26" s="12">
        <v>252.69</v>
      </c>
      <c r="Q26" s="17">
        <v>62.67</v>
      </c>
    </row>
    <row r="27" spans="1:19" s="5" customFormat="1">
      <c r="A27" s="5">
        <v>1</v>
      </c>
      <c r="B27" s="6" t="s">
        <v>24</v>
      </c>
      <c r="C27" s="15">
        <v>173.92000000000002</v>
      </c>
      <c r="D27" s="12">
        <v>91.44</v>
      </c>
      <c r="E27" s="17">
        <v>82.48</v>
      </c>
      <c r="F27" s="12">
        <v>141.73000000000002</v>
      </c>
      <c r="G27" s="12">
        <v>84.53</v>
      </c>
      <c r="H27" s="12">
        <v>57.2</v>
      </c>
      <c r="I27" s="15">
        <v>102.82</v>
      </c>
      <c r="J27" s="12">
        <v>61.45</v>
      </c>
      <c r="K27" s="17">
        <v>41.37</v>
      </c>
      <c r="L27" s="12">
        <v>108.59</v>
      </c>
      <c r="M27" s="12">
        <v>58.68</v>
      </c>
      <c r="N27" s="12">
        <v>49.91</v>
      </c>
      <c r="O27" s="15">
        <v>91.02</v>
      </c>
      <c r="P27" s="12">
        <v>60.03</v>
      </c>
      <c r="Q27" s="17">
        <v>30.99</v>
      </c>
    </row>
    <row r="28" spans="1:19" s="5" customFormat="1">
      <c r="A28" s="5">
        <v>1</v>
      </c>
      <c r="B28" s="6" t="s">
        <v>5</v>
      </c>
      <c r="C28" s="15">
        <v>263.37</v>
      </c>
      <c r="D28" s="12">
        <v>205.26</v>
      </c>
      <c r="E28" s="17">
        <v>58.11</v>
      </c>
      <c r="F28" s="12">
        <v>269.37</v>
      </c>
      <c r="G28" s="12">
        <v>198.78</v>
      </c>
      <c r="H28" s="12">
        <v>70.59</v>
      </c>
      <c r="I28" s="15">
        <v>289.37</v>
      </c>
      <c r="J28" s="12">
        <v>198.93</v>
      </c>
      <c r="K28" s="17">
        <v>90.44</v>
      </c>
      <c r="L28" s="12">
        <v>251.51</v>
      </c>
      <c r="M28" s="12">
        <v>179.98</v>
      </c>
      <c r="N28" s="12">
        <v>71.53</v>
      </c>
      <c r="O28" s="15">
        <v>284.22000000000003</v>
      </c>
      <c r="P28" s="12">
        <v>188.05</v>
      </c>
      <c r="Q28" s="17">
        <v>96.17</v>
      </c>
    </row>
    <row r="29" spans="1:19" s="5" customFormat="1">
      <c r="A29" s="5">
        <v>1</v>
      </c>
      <c r="B29" s="6" t="s">
        <v>7</v>
      </c>
      <c r="C29" s="15">
        <v>246.46</v>
      </c>
      <c r="D29" s="12">
        <v>182.11</v>
      </c>
      <c r="E29" s="17">
        <v>64.349999999999994</v>
      </c>
      <c r="F29" s="12">
        <v>250.09</v>
      </c>
      <c r="G29" s="12">
        <v>167.49</v>
      </c>
      <c r="H29" s="12">
        <v>82.6</v>
      </c>
      <c r="I29" s="15">
        <v>271.10000000000002</v>
      </c>
      <c r="J29" s="12">
        <v>192.46</v>
      </c>
      <c r="K29" s="17">
        <v>78.64</v>
      </c>
      <c r="L29" s="12">
        <v>221.72</v>
      </c>
      <c r="M29" s="12">
        <v>148.47</v>
      </c>
      <c r="N29" s="12">
        <v>73.25</v>
      </c>
      <c r="O29" s="15">
        <v>270.63</v>
      </c>
      <c r="P29" s="12">
        <v>195.4</v>
      </c>
      <c r="Q29" s="17">
        <v>75.23</v>
      </c>
    </row>
    <row r="30" spans="1:19" s="5" customFormat="1">
      <c r="B30" s="6" t="s">
        <v>14</v>
      </c>
      <c r="C30" s="15">
        <v>148.69</v>
      </c>
      <c r="D30" s="12">
        <v>98.25</v>
      </c>
      <c r="E30" s="17">
        <v>50.44</v>
      </c>
      <c r="F30" s="12">
        <v>150.61000000000001</v>
      </c>
      <c r="G30" s="12">
        <v>97.78</v>
      </c>
      <c r="H30" s="12">
        <v>52.83</v>
      </c>
      <c r="I30" s="15">
        <v>141.74</v>
      </c>
      <c r="J30" s="12">
        <v>93.8</v>
      </c>
      <c r="K30" s="17">
        <v>47.94</v>
      </c>
      <c r="L30" s="12">
        <v>114.56</v>
      </c>
      <c r="M30" s="12">
        <v>76.45</v>
      </c>
      <c r="N30" s="12">
        <v>38.11</v>
      </c>
      <c r="O30" s="15">
        <v>115.84</v>
      </c>
      <c r="P30" s="12">
        <v>79.34</v>
      </c>
      <c r="Q30" s="17">
        <v>36.5</v>
      </c>
    </row>
    <row r="31" spans="1:19" s="5" customFormat="1">
      <c r="A31" s="5">
        <v>1</v>
      </c>
      <c r="B31" s="6" t="s">
        <v>3</v>
      </c>
      <c r="C31" s="15">
        <v>361.98</v>
      </c>
      <c r="D31" s="12">
        <v>246.11</v>
      </c>
      <c r="E31" s="17">
        <v>115.87</v>
      </c>
      <c r="F31" s="12">
        <v>418.63</v>
      </c>
      <c r="G31" s="12">
        <v>301.54000000000002</v>
      </c>
      <c r="H31" s="12">
        <v>117.09</v>
      </c>
      <c r="I31" s="15">
        <v>342.01</v>
      </c>
      <c r="J31" s="12">
        <v>246.2</v>
      </c>
      <c r="K31" s="17">
        <v>95.81</v>
      </c>
      <c r="L31" s="12">
        <v>313.62</v>
      </c>
      <c r="M31" s="12">
        <v>227.3</v>
      </c>
      <c r="N31" s="12">
        <v>86.32</v>
      </c>
      <c r="O31" s="15">
        <v>259.58</v>
      </c>
      <c r="P31" s="12">
        <v>195.63</v>
      </c>
      <c r="Q31" s="17">
        <v>63.95</v>
      </c>
      <c r="S31" s="17"/>
    </row>
    <row r="32" spans="1:19" s="5" customFormat="1">
      <c r="A32" s="5">
        <v>1</v>
      </c>
      <c r="B32" s="6" t="s">
        <v>6</v>
      </c>
      <c r="C32" s="15">
        <v>395.71000000000004</v>
      </c>
      <c r="D32" s="12">
        <v>214.06</v>
      </c>
      <c r="E32" s="17">
        <v>181.65</v>
      </c>
      <c r="F32" s="12">
        <v>364.98</v>
      </c>
      <c r="G32" s="12">
        <v>209.26</v>
      </c>
      <c r="H32" s="12">
        <v>155.72</v>
      </c>
      <c r="I32" s="15">
        <v>447.76</v>
      </c>
      <c r="J32" s="12">
        <v>307.54000000000002</v>
      </c>
      <c r="K32" s="17">
        <v>140.22</v>
      </c>
      <c r="L32" s="12">
        <v>348.71</v>
      </c>
      <c r="M32" s="12">
        <v>225.22</v>
      </c>
      <c r="N32" s="12">
        <v>123.49</v>
      </c>
      <c r="O32" s="15">
        <v>300.81</v>
      </c>
      <c r="P32" s="12">
        <v>170.32</v>
      </c>
      <c r="Q32" s="17">
        <v>130.49</v>
      </c>
      <c r="S32" s="12"/>
    </row>
    <row r="33" spans="2:19" s="5" customFormat="1">
      <c r="B33" s="6" t="s">
        <v>9</v>
      </c>
      <c r="C33" s="15">
        <v>132.93</v>
      </c>
      <c r="D33" s="12">
        <v>70.400000000000006</v>
      </c>
      <c r="E33" s="17">
        <v>62.53</v>
      </c>
      <c r="F33" s="12">
        <v>160.18</v>
      </c>
      <c r="G33" s="12">
        <v>74.12</v>
      </c>
      <c r="H33" s="12">
        <v>86.06</v>
      </c>
      <c r="I33" s="15">
        <v>168.96</v>
      </c>
      <c r="J33" s="12">
        <v>81.17</v>
      </c>
      <c r="K33" s="17">
        <v>87.79</v>
      </c>
      <c r="L33" s="12">
        <v>145.32</v>
      </c>
      <c r="M33" s="12">
        <v>73.7</v>
      </c>
      <c r="N33" s="12">
        <v>71.62</v>
      </c>
      <c r="O33" s="15">
        <v>139.26</v>
      </c>
      <c r="P33" s="12">
        <v>63.14</v>
      </c>
      <c r="Q33" s="17">
        <v>76.12</v>
      </c>
      <c r="S33" s="17"/>
    </row>
    <row r="34" spans="2:19" s="5" customFormat="1">
      <c r="B34" s="6" t="s">
        <v>12</v>
      </c>
      <c r="C34" s="15">
        <v>196.41000000000003</v>
      </c>
      <c r="D34" s="12">
        <v>131.62</v>
      </c>
      <c r="E34" s="17">
        <v>64.790000000000006</v>
      </c>
      <c r="F34" s="12">
        <v>190.45</v>
      </c>
      <c r="G34" s="12">
        <v>121.82</v>
      </c>
      <c r="H34" s="12">
        <v>68.63</v>
      </c>
      <c r="I34" s="15">
        <v>195.75</v>
      </c>
      <c r="J34" s="12">
        <v>118.68</v>
      </c>
      <c r="K34" s="17">
        <v>77.069999999999993</v>
      </c>
      <c r="L34" s="12">
        <v>134.84</v>
      </c>
      <c r="M34" s="12">
        <v>84.89</v>
      </c>
      <c r="N34" s="12">
        <v>49.95</v>
      </c>
      <c r="O34" s="15">
        <v>112.78</v>
      </c>
      <c r="P34" s="12">
        <v>84.69</v>
      </c>
      <c r="Q34" s="17">
        <v>28.09</v>
      </c>
      <c r="S34" s="12"/>
    </row>
    <row r="35" spans="2:19">
      <c r="S35" s="17"/>
    </row>
    <row r="36" spans="2:19">
      <c r="B36" s="4" t="s">
        <v>70</v>
      </c>
      <c r="C36" s="22">
        <f>AVERAGE(C14:C15,C18,C20:C23,C25:C29,C31:C32)</f>
        <v>279.91928571428576</v>
      </c>
      <c r="D36" s="22">
        <f t="shared" ref="D36:Q36" si="0">AVERAGE(D14:D15,D18,D20:D23,D25:D29,D31:D32)</f>
        <v>189.06571428571428</v>
      </c>
      <c r="E36" s="22">
        <f t="shared" si="0"/>
        <v>90.853571428571442</v>
      </c>
      <c r="F36" s="22">
        <f t="shared" si="0"/>
        <v>289.19142857142862</v>
      </c>
      <c r="G36" s="22">
        <f t="shared" si="0"/>
        <v>192.8314285714286</v>
      </c>
      <c r="H36" s="22">
        <f t="shared" si="0"/>
        <v>96.36</v>
      </c>
      <c r="I36" s="22">
        <f t="shared" si="0"/>
        <v>268.89428571428573</v>
      </c>
      <c r="J36" s="22">
        <f t="shared" si="0"/>
        <v>184.48642857142858</v>
      </c>
      <c r="K36" s="22">
        <f t="shared" si="0"/>
        <v>84.407857142857168</v>
      </c>
      <c r="L36" s="22">
        <f t="shared" si="0"/>
        <v>218.36142857142855</v>
      </c>
      <c r="M36" s="22">
        <f t="shared" si="0"/>
        <v>150.43357142857144</v>
      </c>
      <c r="N36" s="22">
        <f t="shared" si="0"/>
        <v>67.92785714285715</v>
      </c>
      <c r="O36" s="22">
        <f t="shared" si="0"/>
        <v>222.76714285714289</v>
      </c>
      <c r="P36" s="22">
        <f t="shared" si="0"/>
        <v>156.45357142857145</v>
      </c>
      <c r="Q36" s="22">
        <f t="shared" si="0"/>
        <v>66.313571428571422</v>
      </c>
    </row>
    <row r="40" spans="2:19">
      <c r="B40" s="4">
        <v>-6.910167818360291E-4</v>
      </c>
    </row>
    <row r="41" spans="2:19">
      <c r="B41" s="4">
        <v>2.0349698705917074E-2</v>
      </c>
    </row>
    <row r="42" spans="2:19">
      <c r="B42" s="4">
        <v>9.1005905702392642E-3</v>
      </c>
    </row>
    <row r="43" spans="2:19">
      <c r="B43" s="4">
        <v>-1.180082509834024E-2</v>
      </c>
    </row>
    <row r="44" spans="2:19">
      <c r="B44" s="4">
        <v>-1.6310679611650447E-2</v>
      </c>
    </row>
  </sheetData>
  <sortState xmlns:xlrd2="http://schemas.microsoft.com/office/spreadsheetml/2017/richdata2" ref="B14:Q34">
    <sortCondition ref="B14:B34"/>
  </sortState>
  <phoneticPr fontId="10" type="noConversion"/>
  <conditionalFormatting sqref="B14:M34 O14:Q34">
    <cfRule type="expression" dxfId="9" priority="25">
      <formula>ISODD(ROW())</formula>
    </cfRule>
  </conditionalFormatting>
  <conditionalFormatting sqref="N14:N32">
    <cfRule type="expression" dxfId="8" priority="16">
      <formula>ISODD(ROW())</formula>
    </cfRule>
  </conditionalFormatting>
  <conditionalFormatting sqref="N33">
    <cfRule type="expression" dxfId="7" priority="15">
      <formula>ISODD(ROW())</formula>
    </cfRule>
  </conditionalFormatting>
  <conditionalFormatting sqref="N34">
    <cfRule type="expression" dxfId="6" priority="14">
      <formula>ISODD(ROW())</formula>
    </cfRule>
  </conditionalFormatting>
  <conditionalFormatting sqref="S35 S31:S33">
    <cfRule type="expression" dxfId="5" priority="7">
      <formula>ISODD(ROW())</formula>
    </cfRule>
  </conditionalFormatting>
  <conditionalFormatting sqref="S34">
    <cfRule type="expression" dxfId="4" priority="6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A798-40B9-4241-B725-62069CC1EEEC}">
  <sheetPr codeName="Sheet3">
    <tabColor theme="4"/>
  </sheetPr>
  <dimension ref="A1:M86"/>
  <sheetViews>
    <sheetView topLeftCell="A56" workbookViewId="0">
      <selection activeCell="K12" sqref="K12"/>
    </sheetView>
  </sheetViews>
  <sheetFormatPr baseColWidth="10" defaultRowHeight="15"/>
  <cols>
    <col min="1" max="9" width="12.83203125" customWidth="1"/>
    <col min="11" max="11" width="11.83203125" customWidth="1"/>
    <col min="12" max="12" width="16" bestFit="1" customWidth="1"/>
    <col min="13" max="13" width="31.1640625" bestFit="1" customWidth="1"/>
    <col min="14" max="14" width="18.5" bestFit="1" customWidth="1"/>
  </cols>
  <sheetData>
    <row r="1" spans="1:11" ht="68">
      <c r="A1" s="14" t="s">
        <v>81</v>
      </c>
      <c r="B1" s="14" t="s">
        <v>92</v>
      </c>
      <c r="D1" s="14" t="s">
        <v>81</v>
      </c>
      <c r="E1" s="14" t="s">
        <v>88</v>
      </c>
      <c r="F1" s="14" t="s">
        <v>89</v>
      </c>
      <c r="G1" s="14" t="s">
        <v>90</v>
      </c>
      <c r="H1" s="14" t="s">
        <v>91</v>
      </c>
      <c r="J1" s="14" t="s">
        <v>81</v>
      </c>
      <c r="K1" s="14" t="s">
        <v>87</v>
      </c>
    </row>
    <row r="2" spans="1:11">
      <c r="A2" s="28">
        <v>2021</v>
      </c>
      <c r="B2" s="29">
        <v>2.0074826633224466E-2</v>
      </c>
      <c r="D2" s="27">
        <v>2021</v>
      </c>
      <c r="E2" s="30">
        <f>G2-F2</f>
        <v>173866000</v>
      </c>
      <c r="F2" s="30">
        <v>17386600</v>
      </c>
      <c r="G2" s="30">
        <v>191252600</v>
      </c>
      <c r="H2" s="25">
        <f>G2/K2</f>
        <v>14.71154268485504</v>
      </c>
      <c r="I2" s="23"/>
      <c r="J2" s="27">
        <v>2021</v>
      </c>
      <c r="K2" s="23">
        <f>55913*J2-100000000</f>
        <v>13000173</v>
      </c>
    </row>
    <row r="3" spans="1:11">
      <c r="A3" s="28">
        <v>2022</v>
      </c>
      <c r="B3" s="29">
        <v>2.9335945119721141E-2</v>
      </c>
      <c r="D3" s="27">
        <v>2022</v>
      </c>
      <c r="E3" s="30">
        <f t="shared" ref="E3:E13" si="0">E2*(1+B3)</f>
        <v>178966523.43418542</v>
      </c>
      <c r="F3" s="30">
        <f>E3*0.1</f>
        <v>17896652.343418542</v>
      </c>
      <c r="G3" s="30">
        <f>SUM(E3:F3)</f>
        <v>196863175.77760395</v>
      </c>
      <c r="H3" s="25">
        <f t="shared" ref="H3:H13" si="1">G3/K3</f>
        <v>15.078268922064694</v>
      </c>
      <c r="I3" s="23"/>
      <c r="J3" s="27">
        <v>2022</v>
      </c>
      <c r="K3" s="23">
        <f t="shared" ref="K3:K13" si="2">55913*J3-100000000</f>
        <v>13056086</v>
      </c>
    </row>
    <row r="4" spans="1:11">
      <c r="A4" s="28">
        <v>2023</v>
      </c>
      <c r="B4" s="29">
        <v>2.5901485746927036E-2</v>
      </c>
      <c r="D4" s="27">
        <v>2023</v>
      </c>
      <c r="E4" s="30">
        <f t="shared" si="0"/>
        <v>183602022.29009306</v>
      </c>
      <c r="F4" s="30">
        <f t="shared" ref="F4:F13" si="3">E4*0.1</f>
        <v>18360202.229009308</v>
      </c>
      <c r="G4" s="30">
        <f t="shared" ref="G4:G13" si="4">SUM(E4:F4)</f>
        <v>201962224.51910236</v>
      </c>
      <c r="H4" s="25">
        <f t="shared" si="1"/>
        <v>15.402855393681952</v>
      </c>
      <c r="I4" s="23"/>
      <c r="J4" s="27">
        <v>2023</v>
      </c>
      <c r="K4" s="23">
        <f t="shared" si="2"/>
        <v>13111999</v>
      </c>
    </row>
    <row r="5" spans="1:11">
      <c r="A5" s="28">
        <v>2024</v>
      </c>
      <c r="B5" s="29">
        <v>2.5151787575791049E-2</v>
      </c>
      <c r="D5" s="27">
        <v>2024</v>
      </c>
      <c r="E5" s="30">
        <f t="shared" si="0"/>
        <v>188219941.35321912</v>
      </c>
      <c r="F5" s="30">
        <f t="shared" si="3"/>
        <v>18821994.135321911</v>
      </c>
      <c r="G5" s="30">
        <f t="shared" si="4"/>
        <v>207041935.48854104</v>
      </c>
      <c r="H5" s="25">
        <f t="shared" si="1"/>
        <v>15.723216823482799</v>
      </c>
      <c r="I5" s="23"/>
      <c r="J5" s="27">
        <v>2024</v>
      </c>
      <c r="K5" s="23">
        <f t="shared" si="2"/>
        <v>13167912</v>
      </c>
    </row>
    <row r="6" spans="1:11">
      <c r="A6" s="28">
        <v>2025</v>
      </c>
      <c r="B6" s="29">
        <v>3.0500704213696942E-2</v>
      </c>
      <c r="D6" s="27">
        <v>2025</v>
      </c>
      <c r="E6" s="30">
        <f t="shared" si="0"/>
        <v>193960782.11155304</v>
      </c>
      <c r="F6" s="30">
        <f t="shared" si="3"/>
        <v>19396078.211155307</v>
      </c>
      <c r="G6" s="30">
        <f t="shared" si="4"/>
        <v>213356860.32270834</v>
      </c>
      <c r="H6" s="25">
        <f t="shared" si="1"/>
        <v>16.134277360953305</v>
      </c>
      <c r="I6" s="23"/>
      <c r="J6" s="27">
        <v>2025</v>
      </c>
      <c r="K6" s="23">
        <f t="shared" si="2"/>
        <v>13223825</v>
      </c>
    </row>
    <row r="7" spans="1:11">
      <c r="A7" s="28">
        <v>2026</v>
      </c>
      <c r="B7" s="29">
        <v>4.2032580449541564E-2</v>
      </c>
      <c r="D7" s="27">
        <v>2026</v>
      </c>
      <c r="E7" s="30">
        <f t="shared" si="0"/>
        <v>202113454.28971291</v>
      </c>
      <c r="F7" s="30">
        <f t="shared" si="3"/>
        <v>20211345.428971291</v>
      </c>
      <c r="G7" s="30">
        <f t="shared" si="4"/>
        <v>222324799.7186842</v>
      </c>
      <c r="H7" s="25">
        <f t="shared" si="1"/>
        <v>16.741655574732288</v>
      </c>
      <c r="I7" s="23"/>
      <c r="J7" s="27">
        <v>2026</v>
      </c>
      <c r="K7" s="23">
        <f t="shared" si="2"/>
        <v>13279738</v>
      </c>
    </row>
    <row r="8" spans="1:11">
      <c r="A8" s="28">
        <v>2027</v>
      </c>
      <c r="B8" s="29">
        <v>1.1438156920390383E-2</v>
      </c>
      <c r="D8" s="27">
        <v>2027</v>
      </c>
      <c r="E8" s="30">
        <f t="shared" si="0"/>
        <v>204425259.69560078</v>
      </c>
      <c r="F8" s="30">
        <f t="shared" si="3"/>
        <v>20442525.969560079</v>
      </c>
      <c r="G8" s="30">
        <f t="shared" si="4"/>
        <v>224867785.66516086</v>
      </c>
      <c r="H8" s="25">
        <f t="shared" si="1"/>
        <v>16.862152861165974</v>
      </c>
      <c r="I8" s="23"/>
      <c r="J8" s="27">
        <v>2027</v>
      </c>
      <c r="K8" s="23">
        <f t="shared" si="2"/>
        <v>13335651</v>
      </c>
    </row>
    <row r="9" spans="1:11">
      <c r="A9" s="28">
        <v>2028</v>
      </c>
      <c r="B9" s="29">
        <v>2.1946937243229461E-2</v>
      </c>
      <c r="D9" s="27">
        <v>2028</v>
      </c>
      <c r="E9" s="30">
        <f t="shared" si="0"/>
        <v>208911768.04107103</v>
      </c>
      <c r="F9" s="30">
        <f t="shared" si="3"/>
        <v>20891176.804107103</v>
      </c>
      <c r="G9" s="30">
        <f t="shared" si="4"/>
        <v>229802944.84517813</v>
      </c>
      <c r="H9" s="25">
        <f t="shared" si="1"/>
        <v>17.160276786578336</v>
      </c>
      <c r="I9" s="23"/>
      <c r="J9" s="27">
        <v>2028</v>
      </c>
      <c r="K9" s="23">
        <f t="shared" si="2"/>
        <v>13391564</v>
      </c>
    </row>
    <row r="10" spans="1:11">
      <c r="A10" s="28">
        <v>2029</v>
      </c>
      <c r="B10" s="29">
        <v>1.3117457031198093E-2</v>
      </c>
      <c r="D10" s="27">
        <v>2029</v>
      </c>
      <c r="E10" s="30">
        <f t="shared" si="0"/>
        <v>211652159.1816614</v>
      </c>
      <c r="F10" s="30">
        <f t="shared" si="3"/>
        <v>21165215.918166142</v>
      </c>
      <c r="G10" s="30">
        <f t="shared" si="4"/>
        <v>232817375.09982753</v>
      </c>
      <c r="H10" s="25">
        <f t="shared" si="1"/>
        <v>17.313089667290566</v>
      </c>
      <c r="I10" s="23"/>
      <c r="J10" s="27">
        <v>2029</v>
      </c>
      <c r="K10" s="23">
        <f t="shared" si="2"/>
        <v>13447477</v>
      </c>
    </row>
    <row r="11" spans="1:11">
      <c r="A11" s="28">
        <v>2030</v>
      </c>
      <c r="B11" s="29">
        <v>3.7855843189831449E-2</v>
      </c>
      <c r="D11" s="27">
        <v>2030</v>
      </c>
      <c r="E11" s="30">
        <f t="shared" si="0"/>
        <v>219664430.13043162</v>
      </c>
      <c r="F11" s="30">
        <f t="shared" si="3"/>
        <v>21966443.013043165</v>
      </c>
      <c r="G11" s="30">
        <f t="shared" si="4"/>
        <v>241630873.14347479</v>
      </c>
      <c r="H11" s="25">
        <f t="shared" si="1"/>
        <v>17.894089791043196</v>
      </c>
      <c r="I11" s="23"/>
      <c r="J11" s="27">
        <v>2030</v>
      </c>
      <c r="K11" s="23">
        <f t="shared" si="2"/>
        <v>13503390</v>
      </c>
    </row>
    <row r="12" spans="1:11">
      <c r="A12" s="28">
        <v>2031</v>
      </c>
      <c r="B12" s="29">
        <v>2.0976248197789378E-2</v>
      </c>
      <c r="D12" s="27">
        <v>2031</v>
      </c>
      <c r="E12" s="30">
        <f t="shared" si="0"/>
        <v>224272165.73707351</v>
      </c>
      <c r="F12" s="30">
        <f t="shared" si="3"/>
        <v>22427216.573707353</v>
      </c>
      <c r="G12" s="30">
        <f t="shared" si="4"/>
        <v>246699382.31078085</v>
      </c>
      <c r="H12" s="25">
        <f t="shared" si="1"/>
        <v>18.194104985394961</v>
      </c>
      <c r="I12" s="23"/>
      <c r="J12" s="27">
        <v>2031</v>
      </c>
      <c r="K12" s="23">
        <f t="shared" si="2"/>
        <v>13559303</v>
      </c>
    </row>
    <row r="13" spans="1:11">
      <c r="A13" s="28">
        <v>2032</v>
      </c>
      <c r="B13" s="29">
        <v>3.0617055503364292E-2</v>
      </c>
      <c r="D13" s="27">
        <v>2032</v>
      </c>
      <c r="E13" s="30">
        <f t="shared" si="0"/>
        <v>231138719.08330521</v>
      </c>
      <c r="F13" s="30">
        <f t="shared" si="3"/>
        <v>23113871.908330522</v>
      </c>
      <c r="G13" s="30">
        <f t="shared" si="4"/>
        <v>254252590.99163574</v>
      </c>
      <c r="H13" s="25">
        <f t="shared" si="1"/>
        <v>18.674150376434405</v>
      </c>
      <c r="I13" s="23"/>
      <c r="J13" s="27">
        <v>2032</v>
      </c>
      <c r="K13" s="23">
        <f t="shared" si="2"/>
        <v>13615216</v>
      </c>
    </row>
    <row r="15" spans="1:11" ht="34">
      <c r="A15" s="5"/>
      <c r="B15" s="18" t="s">
        <v>71</v>
      </c>
      <c r="C15" s="19"/>
      <c r="D15" s="19"/>
      <c r="E15" s="20"/>
      <c r="G15" s="5"/>
      <c r="H15" s="18" t="s">
        <v>72</v>
      </c>
      <c r="I15" s="19"/>
      <c r="J15" s="20"/>
    </row>
    <row r="16" spans="1:11" ht="68">
      <c r="A16" s="7" t="s">
        <v>26</v>
      </c>
      <c r="B16" s="14" t="s">
        <v>54</v>
      </c>
      <c r="C16" s="11" t="s">
        <v>55</v>
      </c>
      <c r="D16" s="11" t="s">
        <v>56</v>
      </c>
      <c r="E16" s="16" t="s">
        <v>57</v>
      </c>
      <c r="G16" s="7" t="s">
        <v>26</v>
      </c>
      <c r="H16" s="14" t="s">
        <v>59</v>
      </c>
      <c r="I16" s="11" t="s">
        <v>60</v>
      </c>
      <c r="J16" s="16" t="s">
        <v>61</v>
      </c>
    </row>
    <row r="17" spans="1:10">
      <c r="A17" s="6" t="s">
        <v>8</v>
      </c>
      <c r="B17" s="15">
        <v>155.73000000000002</v>
      </c>
      <c r="C17" s="12">
        <v>30.4</v>
      </c>
      <c r="D17" s="12">
        <v>72.53</v>
      </c>
      <c r="E17" s="17">
        <v>52.8</v>
      </c>
      <c r="G17" s="6" t="s">
        <v>8</v>
      </c>
      <c r="H17" s="15">
        <v>151.12</v>
      </c>
      <c r="I17" s="12">
        <v>95.19</v>
      </c>
      <c r="J17" s="17">
        <v>55.93</v>
      </c>
    </row>
    <row r="18" spans="1:10">
      <c r="A18" s="6" t="s">
        <v>19</v>
      </c>
      <c r="B18" s="15">
        <v>302.27</v>
      </c>
      <c r="C18" s="12">
        <v>26.38</v>
      </c>
      <c r="D18" s="12">
        <v>119.26</v>
      </c>
      <c r="E18" s="17">
        <v>156.63</v>
      </c>
      <c r="G18" s="6" t="s">
        <v>19</v>
      </c>
      <c r="H18" s="15">
        <v>252</v>
      </c>
      <c r="I18" s="12">
        <v>178.06</v>
      </c>
      <c r="J18" s="17">
        <v>73.94</v>
      </c>
    </row>
    <row r="19" spans="1:10">
      <c r="A19" s="6" t="s">
        <v>1</v>
      </c>
      <c r="B19" s="15">
        <v>291.31</v>
      </c>
      <c r="C19" s="12">
        <v>49.54</v>
      </c>
      <c r="D19" s="12">
        <v>80.77</v>
      </c>
      <c r="E19" s="17">
        <v>161</v>
      </c>
      <c r="G19" s="6" t="s">
        <v>1</v>
      </c>
      <c r="H19" s="15">
        <v>266.90999999999997</v>
      </c>
      <c r="I19" s="12">
        <v>208.94</v>
      </c>
      <c r="J19" s="17">
        <v>57.97</v>
      </c>
    </row>
    <row r="20" spans="1:10">
      <c r="A20" s="6" t="s">
        <v>11</v>
      </c>
      <c r="B20" s="15">
        <v>254.48000000000002</v>
      </c>
      <c r="C20" s="12">
        <v>28.1</v>
      </c>
      <c r="D20" s="12">
        <v>81.48</v>
      </c>
      <c r="E20" s="17">
        <v>144.9</v>
      </c>
      <c r="G20" s="6" t="s">
        <v>11</v>
      </c>
      <c r="H20" s="15">
        <v>237.60000000000002</v>
      </c>
      <c r="I20" s="12">
        <v>147.77000000000001</v>
      </c>
      <c r="J20" s="17">
        <v>89.83</v>
      </c>
    </row>
    <row r="21" spans="1:10">
      <c r="A21" s="6" t="s">
        <v>4</v>
      </c>
      <c r="B21" s="15">
        <v>225.67</v>
      </c>
      <c r="C21" s="12">
        <v>43.4</v>
      </c>
      <c r="D21" s="12">
        <v>121.51</v>
      </c>
      <c r="E21" s="17">
        <v>60.76</v>
      </c>
      <c r="G21" s="6" t="s">
        <v>4</v>
      </c>
      <c r="H21" s="15">
        <v>276.62</v>
      </c>
      <c r="I21" s="12">
        <v>164.4</v>
      </c>
      <c r="J21" s="17">
        <v>112.22</v>
      </c>
    </row>
    <row r="22" spans="1:10">
      <c r="A22" s="6" t="s">
        <v>2</v>
      </c>
      <c r="B22" s="15">
        <v>253.39</v>
      </c>
      <c r="C22" s="12">
        <v>18.72</v>
      </c>
      <c r="D22" s="12">
        <v>182.84</v>
      </c>
      <c r="E22" s="17">
        <v>51.83</v>
      </c>
      <c r="G22" s="6" t="s">
        <v>2</v>
      </c>
      <c r="H22" s="15">
        <v>226.46</v>
      </c>
      <c r="I22" s="12">
        <v>180.62</v>
      </c>
      <c r="J22" s="17">
        <v>45.84</v>
      </c>
    </row>
    <row r="23" spans="1:10">
      <c r="A23" s="6" t="s">
        <v>10</v>
      </c>
      <c r="B23" s="15">
        <v>332.71000000000004</v>
      </c>
      <c r="C23" s="12">
        <v>49.4</v>
      </c>
      <c r="D23" s="12">
        <v>138.68</v>
      </c>
      <c r="E23" s="17">
        <v>144.63</v>
      </c>
      <c r="G23" s="6" t="s">
        <v>10</v>
      </c>
      <c r="H23" s="15">
        <v>272.53999999999996</v>
      </c>
      <c r="I23" s="12">
        <v>188.79</v>
      </c>
      <c r="J23" s="17">
        <v>83.75</v>
      </c>
    </row>
    <row r="24" spans="1:10">
      <c r="A24" s="6" t="s">
        <v>13</v>
      </c>
      <c r="B24" s="15">
        <v>433.65</v>
      </c>
      <c r="C24" s="12">
        <v>57.33</v>
      </c>
      <c r="D24" s="12">
        <v>192.32</v>
      </c>
      <c r="E24" s="17">
        <v>184</v>
      </c>
      <c r="G24" s="6" t="s">
        <v>13</v>
      </c>
      <c r="H24" s="15">
        <v>358.9</v>
      </c>
      <c r="I24" s="12">
        <v>240.75</v>
      </c>
      <c r="J24" s="17">
        <v>118.15</v>
      </c>
    </row>
    <row r="25" spans="1:10">
      <c r="A25" s="6" t="s">
        <v>0</v>
      </c>
      <c r="B25" s="15">
        <v>441.52000000000004</v>
      </c>
      <c r="C25" s="12">
        <v>78.040000000000006</v>
      </c>
      <c r="D25" s="12">
        <v>153.43</v>
      </c>
      <c r="E25" s="17">
        <v>210.05</v>
      </c>
      <c r="G25" s="6" t="s">
        <v>0</v>
      </c>
      <c r="H25" s="15">
        <v>435.28000000000003</v>
      </c>
      <c r="I25" s="12">
        <v>303.42</v>
      </c>
      <c r="J25" s="17">
        <v>131.86000000000001</v>
      </c>
    </row>
    <row r="26" spans="1:10">
      <c r="A26" s="6" t="s">
        <v>24</v>
      </c>
      <c r="B26" s="15">
        <v>216.25</v>
      </c>
      <c r="C26" s="12">
        <v>52.37</v>
      </c>
      <c r="D26" s="12">
        <v>75.150000000000006</v>
      </c>
      <c r="E26" s="17">
        <v>88.73</v>
      </c>
      <c r="G26" s="6" t="s">
        <v>24</v>
      </c>
      <c r="H26" s="15">
        <v>173.92000000000002</v>
      </c>
      <c r="I26" s="12">
        <v>91.44</v>
      </c>
      <c r="J26" s="17">
        <v>82.48</v>
      </c>
    </row>
    <row r="27" spans="1:10">
      <c r="A27" s="6" t="s">
        <v>5</v>
      </c>
      <c r="B27" s="15">
        <v>385.77</v>
      </c>
      <c r="C27" s="12">
        <v>65.73</v>
      </c>
      <c r="D27" s="12">
        <v>106.24</v>
      </c>
      <c r="E27" s="17">
        <v>213.8</v>
      </c>
      <c r="G27" s="6" t="s">
        <v>5</v>
      </c>
      <c r="H27" s="15">
        <v>263.37</v>
      </c>
      <c r="I27" s="12">
        <v>205.26</v>
      </c>
      <c r="J27" s="17">
        <v>58.11</v>
      </c>
    </row>
    <row r="28" spans="1:10">
      <c r="A28" s="6" t="s">
        <v>7</v>
      </c>
      <c r="B28" s="15">
        <v>269.14</v>
      </c>
      <c r="C28" s="12">
        <v>62.43</v>
      </c>
      <c r="D28" s="12">
        <v>94.34</v>
      </c>
      <c r="E28" s="17">
        <v>112.37</v>
      </c>
      <c r="G28" s="6" t="s">
        <v>7</v>
      </c>
      <c r="H28" s="15">
        <v>246.46</v>
      </c>
      <c r="I28" s="12">
        <v>182.11</v>
      </c>
      <c r="J28" s="17">
        <v>64.349999999999994</v>
      </c>
    </row>
    <row r="29" spans="1:10">
      <c r="A29" s="6" t="s">
        <v>3</v>
      </c>
      <c r="B29" s="15">
        <v>438.70000000000005</v>
      </c>
      <c r="C29" s="12">
        <v>46.29</v>
      </c>
      <c r="D29" s="12">
        <v>184.08</v>
      </c>
      <c r="E29" s="17">
        <v>208.33</v>
      </c>
      <c r="G29" s="6" t="s">
        <v>3</v>
      </c>
      <c r="H29" s="15">
        <v>361.98</v>
      </c>
      <c r="I29" s="12">
        <v>246.11</v>
      </c>
      <c r="J29" s="17">
        <v>115.87</v>
      </c>
    </row>
    <row r="30" spans="1:10">
      <c r="A30" s="6" t="s">
        <v>6</v>
      </c>
      <c r="B30" s="15">
        <v>444.16999999999996</v>
      </c>
      <c r="C30" s="12">
        <v>69.319999999999993</v>
      </c>
      <c r="D30" s="12">
        <v>143.78</v>
      </c>
      <c r="E30" s="17">
        <v>231.07</v>
      </c>
      <c r="G30" s="6" t="s">
        <v>6</v>
      </c>
      <c r="H30" s="15">
        <v>395.71000000000004</v>
      </c>
      <c r="I30" s="12">
        <v>214.06</v>
      </c>
      <c r="J30" s="17">
        <v>181.65</v>
      </c>
    </row>
    <row r="32" spans="1:10">
      <c r="A32" s="6" t="s">
        <v>14</v>
      </c>
      <c r="B32" s="15">
        <v>163.13</v>
      </c>
      <c r="C32" s="12">
        <v>24.63</v>
      </c>
      <c r="D32" s="12">
        <v>63.44</v>
      </c>
      <c r="E32" s="17">
        <v>75.06</v>
      </c>
      <c r="G32" s="6" t="s">
        <v>14</v>
      </c>
      <c r="H32" s="15">
        <v>148.69</v>
      </c>
      <c r="I32" s="12">
        <v>98.25</v>
      </c>
      <c r="J32" s="17">
        <v>50.44</v>
      </c>
    </row>
    <row r="33" spans="1:8">
      <c r="A33">
        <v>2021</v>
      </c>
      <c r="B33">
        <f t="shared" ref="B33:B44" si="5">B32*(1+B2)</f>
        <v>166.40480646867789</v>
      </c>
      <c r="G33">
        <v>2021</v>
      </c>
      <c r="H33">
        <f t="shared" ref="H33:H44" si="6">H32*(1+B2)</f>
        <v>151.67492597209414</v>
      </c>
    </row>
    <row r="34" spans="1:8">
      <c r="A34">
        <v>2022</v>
      </c>
      <c r="B34">
        <f t="shared" si="5"/>
        <v>171.28644873890082</v>
      </c>
      <c r="G34">
        <v>2022</v>
      </c>
      <c r="H34">
        <f t="shared" si="6"/>
        <v>156.12445327644926</v>
      </c>
    </row>
    <row r="35" spans="1:8">
      <c r="A35">
        <v>2023</v>
      </c>
      <c r="B35">
        <f t="shared" si="5"/>
        <v>175.72302224955322</v>
      </c>
      <c r="G35">
        <v>2023</v>
      </c>
      <c r="H35">
        <f t="shared" si="6"/>
        <v>160.16830857773598</v>
      </c>
    </row>
    <row r="36" spans="1:8">
      <c r="A36">
        <v>2024</v>
      </c>
      <c r="B36">
        <f t="shared" si="5"/>
        <v>180.14277037734996</v>
      </c>
      <c r="G36">
        <v>2024</v>
      </c>
      <c r="H36">
        <f t="shared" si="6"/>
        <v>164.19682785145693</v>
      </c>
    </row>
    <row r="37" spans="1:8">
      <c r="A37">
        <v>2025</v>
      </c>
      <c r="B37">
        <f t="shared" si="5"/>
        <v>185.63725173286542</v>
      </c>
      <c r="G37">
        <v>2025</v>
      </c>
      <c r="H37">
        <f t="shared" si="6"/>
        <v>169.20494673058153</v>
      </c>
    </row>
    <row r="38" spans="1:8">
      <c r="A38">
        <v>2026</v>
      </c>
      <c r="B38">
        <f t="shared" si="5"/>
        <v>193.44006445075891</v>
      </c>
      <c r="G38">
        <v>2026</v>
      </c>
      <c r="H38">
        <f t="shared" si="6"/>
        <v>176.31706726649509</v>
      </c>
    </row>
    <row r="39" spans="1:8">
      <c r="A39">
        <v>2027</v>
      </c>
      <c r="B39">
        <f t="shared" si="5"/>
        <v>195.65266226263711</v>
      </c>
      <c r="G39">
        <v>2027</v>
      </c>
      <c r="H39">
        <f t="shared" si="6"/>
        <v>178.33380954963226</v>
      </c>
    </row>
    <row r="40" spans="1:8">
      <c r="A40">
        <v>2028</v>
      </c>
      <c r="B40">
        <f t="shared" si="5"/>
        <v>199.94663896278598</v>
      </c>
      <c r="G40">
        <v>2028</v>
      </c>
      <c r="H40">
        <f t="shared" si="6"/>
        <v>182.24769047616408</v>
      </c>
    </row>
    <row r="41" spans="1:8">
      <c r="A41">
        <v>2029</v>
      </c>
      <c r="B41">
        <f t="shared" si="5"/>
        <v>202.56943040791279</v>
      </c>
      <c r="G41">
        <v>2029</v>
      </c>
      <c r="H41">
        <f t="shared" si="6"/>
        <v>184.63831672502025</v>
      </c>
    </row>
    <row r="42" spans="1:8">
      <c r="A42">
        <v>2030</v>
      </c>
      <c r="B42">
        <f t="shared" si="5"/>
        <v>210.23786700048822</v>
      </c>
      <c r="G42">
        <v>2030</v>
      </c>
      <c r="H42">
        <f t="shared" si="6"/>
        <v>191.62795588979705</v>
      </c>
    </row>
    <row r="43" spans="1:8">
      <c r="A43">
        <v>2031</v>
      </c>
      <c r="B43">
        <f t="shared" si="5"/>
        <v>214.64786867926429</v>
      </c>
      <c r="G43">
        <v>2031</v>
      </c>
      <c r="H43">
        <f t="shared" si="6"/>
        <v>195.64759145417645</v>
      </c>
    </row>
    <row r="44" spans="1:8">
      <c r="A44">
        <v>2032</v>
      </c>
      <c r="B44">
        <f t="shared" si="5"/>
        <v>221.21975438829617</v>
      </c>
      <c r="G44">
        <v>2032</v>
      </c>
      <c r="H44">
        <f t="shared" si="6"/>
        <v>201.6377446208285</v>
      </c>
    </row>
    <row r="58" spans="1:9" ht="51">
      <c r="A58" s="14" t="s">
        <v>81</v>
      </c>
      <c r="B58" s="14" t="s">
        <v>54</v>
      </c>
      <c r="C58" s="11" t="s">
        <v>55</v>
      </c>
      <c r="D58" s="11" t="s">
        <v>56</v>
      </c>
      <c r="E58" s="16" t="s">
        <v>57</v>
      </c>
      <c r="F58" s="16" t="s">
        <v>78</v>
      </c>
      <c r="G58" s="16" t="s">
        <v>73</v>
      </c>
      <c r="H58" s="16" t="s">
        <v>74</v>
      </c>
      <c r="I58" s="16" t="s">
        <v>86</v>
      </c>
    </row>
    <row r="59" spans="1:9">
      <c r="A59" s="27">
        <v>2020</v>
      </c>
      <c r="B59" s="25">
        <f>AVERAGE(B17:B30)</f>
        <v>317.48285714285714</v>
      </c>
      <c r="C59" s="25">
        <f>AVERAGE(C17:C30)</f>
        <v>48.38928571428572</v>
      </c>
      <c r="D59" s="25">
        <f>AVERAGE(D17:D30)</f>
        <v>124.74357142857141</v>
      </c>
      <c r="E59" s="25">
        <f>AVERAGE(E17:E30)</f>
        <v>144.35</v>
      </c>
      <c r="F59" s="25">
        <v>163.13</v>
      </c>
      <c r="G59" s="25">
        <f>B59-F59</f>
        <v>154.35285714285715</v>
      </c>
      <c r="H59" s="25">
        <f>G59</f>
        <v>154.35285714285715</v>
      </c>
      <c r="I59" s="25">
        <f>H59</f>
        <v>154.35285714285715</v>
      </c>
    </row>
    <row r="60" spans="1:9">
      <c r="A60" s="27">
        <v>2021</v>
      </c>
      <c r="B60" s="25">
        <f>B59*(1+$B2)</f>
        <v>323.85627045902078</v>
      </c>
      <c r="C60" s="25">
        <f>C59*(1+$B2)</f>
        <v>49.360692235905567</v>
      </c>
      <c r="D60" s="25">
        <f>D59*(1+$B2)</f>
        <v>127.24777699860924</v>
      </c>
      <c r="E60" s="25">
        <f>E59*(1+$B2)</f>
        <v>147.24780122450593</v>
      </c>
      <c r="F60" s="25">
        <v>166.40480646867789</v>
      </c>
      <c r="G60" s="25">
        <f t="shared" ref="G60:G71" si="7">B60-F60</f>
        <v>157.45146399034289</v>
      </c>
      <c r="H60" s="25">
        <f>G60</f>
        <v>157.45146399034289</v>
      </c>
      <c r="I60" s="25">
        <f>H60</f>
        <v>157.45146399034289</v>
      </c>
    </row>
    <row r="61" spans="1:9">
      <c r="A61" s="27">
        <v>2022</v>
      </c>
      <c r="B61" s="25">
        <f t="shared" ref="B61:B71" si="8">B60*(1+B3)</f>
        <v>333.35690023588415</v>
      </c>
      <c r="C61" s="25">
        <f t="shared" ref="C61:C71" si="9">C60*(1+$B3)</f>
        <v>50.808734794409531</v>
      </c>
      <c r="D61" s="25">
        <f t="shared" ref="D61:D71" si="10">D60*(1+$B3)</f>
        <v>130.98071080124694</v>
      </c>
      <c r="E61" s="25">
        <f t="shared" ref="E61:E71" si="11">E60*(1+$B3)</f>
        <v>151.56745464022762</v>
      </c>
      <c r="F61" s="25">
        <v>171.28644873890082</v>
      </c>
      <c r="G61" s="25">
        <f t="shared" si="7"/>
        <v>162.07045149698334</v>
      </c>
      <c r="H61" s="25">
        <f>G61*(1-15%)</f>
        <v>137.75988377243584</v>
      </c>
      <c r="I61" s="25">
        <f>H61*(1-15%)</f>
        <v>117.09590120657046</v>
      </c>
    </row>
    <row r="62" spans="1:9">
      <c r="A62" s="27">
        <v>2023</v>
      </c>
      <c r="B62" s="25">
        <f t="shared" si="8"/>
        <v>341.99133923598367</v>
      </c>
      <c r="C62" s="25">
        <f t="shared" si="9"/>
        <v>52.124756514506331</v>
      </c>
      <c r="D62" s="25">
        <f t="shared" si="10"/>
        <v>134.37330581518782</v>
      </c>
      <c r="E62" s="25">
        <f t="shared" si="11"/>
        <v>155.49327690628951</v>
      </c>
      <c r="F62" s="25">
        <v>175.72302224955322</v>
      </c>
      <c r="G62" s="25">
        <f t="shared" si="7"/>
        <v>166.26831698643045</v>
      </c>
      <c r="H62" s="25">
        <f>G62*(1-10%)</f>
        <v>149.64148528778742</v>
      </c>
      <c r="I62" s="25">
        <f>H62*(1-10%)</f>
        <v>134.67733675900868</v>
      </c>
    </row>
    <row r="63" spans="1:9">
      <c r="A63" s="27">
        <v>2024</v>
      </c>
      <c r="B63" s="25">
        <f t="shared" si="8"/>
        <v>350.59303275320741</v>
      </c>
      <c r="C63" s="25">
        <f t="shared" si="9"/>
        <v>53.435787317799019</v>
      </c>
      <c r="D63" s="25">
        <f t="shared" si="10"/>
        <v>137.75303465890821</v>
      </c>
      <c r="E63" s="25">
        <f t="shared" si="11"/>
        <v>159.40421077650015</v>
      </c>
      <c r="F63" s="25">
        <v>180.14277037734996</v>
      </c>
      <c r="G63" s="25">
        <f t="shared" si="7"/>
        <v>170.45026237585745</v>
      </c>
      <c r="H63" s="25">
        <f>G63*(1-5%)</f>
        <v>161.92774925706456</v>
      </c>
      <c r="I63" s="25">
        <f>H63*(1-5%)</f>
        <v>153.83136179421132</v>
      </c>
    </row>
    <row r="64" spans="1:9">
      <c r="A64" s="27">
        <v>2025</v>
      </c>
      <c r="B64" s="25">
        <f t="shared" si="8"/>
        <v>361.28636714459594</v>
      </c>
      <c r="C64" s="25">
        <f t="shared" si="9"/>
        <v>55.065616461205224</v>
      </c>
      <c r="D64" s="25">
        <f t="shared" si="10"/>
        <v>141.9545992235787</v>
      </c>
      <c r="E64" s="25">
        <f t="shared" si="11"/>
        <v>164.26615145981197</v>
      </c>
      <c r="F64" s="25">
        <v>185.63725173286542</v>
      </c>
      <c r="G64" s="25">
        <f t="shared" si="7"/>
        <v>175.64911541173052</v>
      </c>
      <c r="H64" s="25">
        <f t="shared" ref="H64:I71" si="12">G64</f>
        <v>175.64911541173052</v>
      </c>
      <c r="I64" s="25">
        <f t="shared" si="12"/>
        <v>175.64911541173052</v>
      </c>
    </row>
    <row r="65" spans="1:13">
      <c r="A65" s="27">
        <v>2026</v>
      </c>
      <c r="B65" s="25">
        <f t="shared" si="8"/>
        <v>376.47216543692377</v>
      </c>
      <c r="C65" s="25">
        <f t="shared" si="9"/>
        <v>57.380166415114438</v>
      </c>
      <c r="D65" s="25">
        <f t="shared" si="10"/>
        <v>147.92131733562621</v>
      </c>
      <c r="E65" s="25">
        <f t="shared" si="11"/>
        <v>171.17068168618309</v>
      </c>
      <c r="F65" s="25">
        <v>193.44006445075891</v>
      </c>
      <c r="G65" s="25">
        <f t="shared" si="7"/>
        <v>183.03210098616486</v>
      </c>
      <c r="H65" s="25">
        <f t="shared" si="12"/>
        <v>183.03210098616486</v>
      </c>
      <c r="I65" s="25">
        <f t="shared" si="12"/>
        <v>183.03210098616486</v>
      </c>
    </row>
    <row r="66" spans="1:13">
      <c r="A66" s="27">
        <v>2027</v>
      </c>
      <c r="B66" s="25">
        <f t="shared" si="8"/>
        <v>380.77831314135045</v>
      </c>
      <c r="C66" s="25">
        <f t="shared" si="9"/>
        <v>58.036489762688625</v>
      </c>
      <c r="D66" s="25">
        <f t="shared" si="10"/>
        <v>149.61326457518194</v>
      </c>
      <c r="E66" s="25">
        <f t="shared" si="11"/>
        <v>173.12855880347982</v>
      </c>
      <c r="F66" s="25">
        <v>195.65266226263711</v>
      </c>
      <c r="G66" s="25">
        <f t="shared" si="7"/>
        <v>185.12565087871334</v>
      </c>
      <c r="H66" s="25">
        <f t="shared" si="12"/>
        <v>185.12565087871334</v>
      </c>
      <c r="I66" s="25">
        <f t="shared" si="12"/>
        <v>185.12565087871334</v>
      </c>
    </row>
    <row r="67" spans="1:13">
      <c r="A67" s="27">
        <v>2028</v>
      </c>
      <c r="B67" s="25">
        <f t="shared" si="8"/>
        <v>389.13523088344647</v>
      </c>
      <c r="C67" s="25">
        <f t="shared" si="9"/>
        <v>59.310212961327686</v>
      </c>
      <c r="D67" s="25">
        <f t="shared" si="10"/>
        <v>152.89681750356814</v>
      </c>
      <c r="E67" s="25">
        <f t="shared" si="11"/>
        <v>176.92820041855055</v>
      </c>
      <c r="F67" s="25">
        <v>199.94663896278598</v>
      </c>
      <c r="G67" s="25">
        <f t="shared" si="7"/>
        <v>189.18859192066049</v>
      </c>
      <c r="H67" s="25">
        <f t="shared" si="12"/>
        <v>189.18859192066049</v>
      </c>
      <c r="I67" s="25">
        <f t="shared" si="12"/>
        <v>189.18859192066049</v>
      </c>
    </row>
    <row r="68" spans="1:13">
      <c r="A68" s="27">
        <v>2029</v>
      </c>
      <c r="B68" s="25">
        <f t="shared" si="8"/>
        <v>394.23969555388538</v>
      </c>
      <c r="C68" s="25">
        <f t="shared" si="9"/>
        <v>60.088212131359107</v>
      </c>
      <c r="D68" s="25">
        <f t="shared" si="10"/>
        <v>154.90243493737813</v>
      </c>
      <c r="E68" s="25">
        <f t="shared" si="11"/>
        <v>179.24904848514808</v>
      </c>
      <c r="F68" s="25">
        <v>202.56943040791279</v>
      </c>
      <c r="G68" s="25">
        <f t="shared" si="7"/>
        <v>191.67026514597259</v>
      </c>
      <c r="H68" s="25">
        <f t="shared" si="12"/>
        <v>191.67026514597259</v>
      </c>
      <c r="I68" s="25">
        <f t="shared" si="12"/>
        <v>191.67026514597259</v>
      </c>
    </row>
    <row r="69" spans="1:13">
      <c r="A69" s="27">
        <v>2030</v>
      </c>
      <c r="B69" s="25">
        <f t="shared" si="8"/>
        <v>409.16397164798019</v>
      </c>
      <c r="C69" s="25">
        <f t="shared" si="9"/>
        <v>62.362902067361169</v>
      </c>
      <c r="D69" s="25">
        <f t="shared" si="10"/>
        <v>160.76639722409058</v>
      </c>
      <c r="E69" s="25">
        <f t="shared" si="11"/>
        <v>186.03467235652835</v>
      </c>
      <c r="F69" s="25">
        <v>210.23786700048822</v>
      </c>
      <c r="G69" s="25">
        <f t="shared" si="7"/>
        <v>198.92610464749197</v>
      </c>
      <c r="H69" s="25">
        <f t="shared" si="12"/>
        <v>198.92610464749197</v>
      </c>
      <c r="I69" s="25">
        <f t="shared" si="12"/>
        <v>198.92610464749197</v>
      </c>
    </row>
    <row r="70" spans="1:13">
      <c r="A70" s="27">
        <v>2031</v>
      </c>
      <c r="B70" s="25">
        <f t="shared" si="8"/>
        <v>417.74669667086147</v>
      </c>
      <c r="C70" s="25">
        <f t="shared" si="9"/>
        <v>63.671041779460566</v>
      </c>
      <c r="D70" s="25">
        <f t="shared" si="10"/>
        <v>164.1386730741275</v>
      </c>
      <c r="E70" s="25">
        <f t="shared" si="11"/>
        <v>189.93698181727331</v>
      </c>
      <c r="F70" s="25">
        <v>214.64786867926429</v>
      </c>
      <c r="G70" s="25">
        <f t="shared" si="7"/>
        <v>203.09882799159718</v>
      </c>
      <c r="H70" s="25">
        <f t="shared" si="12"/>
        <v>203.09882799159718</v>
      </c>
      <c r="I70" s="25">
        <f t="shared" si="12"/>
        <v>203.09882799159718</v>
      </c>
    </row>
    <row r="71" spans="1:13">
      <c r="A71" s="27">
        <v>2032</v>
      </c>
      <c r="B71" s="25">
        <f t="shared" si="8"/>
        <v>430.53687046918031</v>
      </c>
      <c r="C71" s="25">
        <f t="shared" si="9"/>
        <v>65.620461599579329</v>
      </c>
      <c r="D71" s="25">
        <f t="shared" si="10"/>
        <v>169.16411593788661</v>
      </c>
      <c r="E71" s="25">
        <f t="shared" si="11"/>
        <v>195.75229293171424</v>
      </c>
      <c r="F71" s="25">
        <v>221.21975438829617</v>
      </c>
      <c r="G71" s="25">
        <f t="shared" si="7"/>
        <v>209.31711608088415</v>
      </c>
      <c r="H71" s="25">
        <f t="shared" si="12"/>
        <v>209.31711608088415</v>
      </c>
      <c r="I71" s="25">
        <f t="shared" si="12"/>
        <v>209.31711608088415</v>
      </c>
    </row>
    <row r="72" spans="1:13">
      <c r="A72" s="23"/>
      <c r="B72" s="23"/>
      <c r="C72" s="23"/>
      <c r="D72" s="23"/>
      <c r="E72" s="23"/>
      <c r="F72" s="23"/>
      <c r="G72" s="23"/>
      <c r="H72" s="23"/>
      <c r="M72" s="24"/>
    </row>
    <row r="73" spans="1:13" ht="51">
      <c r="A73" s="14" t="s">
        <v>81</v>
      </c>
      <c r="B73" s="14" t="s">
        <v>59</v>
      </c>
      <c r="C73" s="11" t="s">
        <v>60</v>
      </c>
      <c r="D73" s="16" t="s">
        <v>61</v>
      </c>
      <c r="E73" s="16" t="s">
        <v>79</v>
      </c>
      <c r="F73" s="16" t="s">
        <v>75</v>
      </c>
      <c r="G73" s="16" t="s">
        <v>84</v>
      </c>
      <c r="H73" s="16" t="s">
        <v>82</v>
      </c>
      <c r="I73" s="16" t="s">
        <v>85</v>
      </c>
    </row>
    <row r="74" spans="1:13">
      <c r="A74" s="27">
        <v>2020</v>
      </c>
      <c r="B74" s="25">
        <f>AVERAGE(H17:H30)</f>
        <v>279.91928571428576</v>
      </c>
      <c r="C74" s="25">
        <f>AVERAGE(I17:I30)</f>
        <v>189.06571428571428</v>
      </c>
      <c r="D74" s="25">
        <f>AVERAGE(J17:J30)</f>
        <v>90.853571428571442</v>
      </c>
      <c r="E74" s="25">
        <v>148.69</v>
      </c>
      <c r="F74" s="25">
        <f>B74-E74</f>
        <v>131.22928571428577</v>
      </c>
      <c r="G74" s="26">
        <f>F74</f>
        <v>131.22928571428577</v>
      </c>
      <c r="H74" s="25" t="s">
        <v>83</v>
      </c>
      <c r="I74" s="25" t="s">
        <v>83</v>
      </c>
    </row>
    <row r="75" spans="1:13">
      <c r="A75" s="27">
        <v>2021</v>
      </c>
      <c r="B75" s="25">
        <f t="shared" ref="B75:B86" si="13">B74*(1+$B2)</f>
        <v>285.53861684629607</v>
      </c>
      <c r="C75" s="25">
        <f t="shared" ref="C75:C86" si="14">C74*(1+$B2)</f>
        <v>192.86117572228673</v>
      </c>
      <c r="D75" s="25">
        <f t="shared" ref="D75:D86" si="15">D74*(1+$B2)</f>
        <v>92.677441124009292</v>
      </c>
      <c r="E75" s="25">
        <v>151.67492597209414</v>
      </c>
      <c r="F75" s="25">
        <f t="shared" ref="F75:F86" si="16">B75-E75</f>
        <v>133.86369087420192</v>
      </c>
      <c r="G75" s="26">
        <f>F75</f>
        <v>133.86369087420192</v>
      </c>
      <c r="H75" s="25" t="s">
        <v>83</v>
      </c>
      <c r="I75" s="25" t="s">
        <v>83</v>
      </c>
    </row>
    <row r="76" spans="1:13">
      <c r="A76" s="27">
        <v>2022</v>
      </c>
      <c r="B76" s="25">
        <f t="shared" si="13"/>
        <v>293.91516203966006</v>
      </c>
      <c r="C76" s="25">
        <f t="shared" si="14"/>
        <v>198.51894058900061</v>
      </c>
      <c r="D76" s="25">
        <f t="shared" si="15"/>
        <v>95.396221450659411</v>
      </c>
      <c r="E76" s="25">
        <v>156.12445327644926</v>
      </c>
      <c r="F76" s="25">
        <f t="shared" si="16"/>
        <v>137.7907087632108</v>
      </c>
      <c r="G76" s="26">
        <f>F76*(1.1)</f>
        <v>151.5697796395319</v>
      </c>
      <c r="H76" s="25">
        <v>15.078268922064694</v>
      </c>
      <c r="I76" s="25">
        <f>G76+H76</f>
        <v>166.6480485615966</v>
      </c>
    </row>
    <row r="77" spans="1:13">
      <c r="A77" s="27">
        <v>2023</v>
      </c>
      <c r="B77" s="25">
        <f t="shared" si="13"/>
        <v>301.52800142003611</v>
      </c>
      <c r="C77" s="25">
        <f t="shared" si="14"/>
        <v>203.66087609916167</v>
      </c>
      <c r="D77" s="25">
        <f t="shared" si="15"/>
        <v>97.867125320874365</v>
      </c>
      <c r="E77" s="25">
        <v>160.16830857773598</v>
      </c>
      <c r="F77" s="25">
        <f t="shared" si="16"/>
        <v>141.35969284230012</v>
      </c>
      <c r="G77" s="26">
        <f>F77*(1.1)</f>
        <v>155.49566212653014</v>
      </c>
      <c r="H77" s="25">
        <v>15.402855393681952</v>
      </c>
      <c r="I77" s="25">
        <f t="shared" ref="I77:I85" si="17">G77+H77</f>
        <v>170.8985175202121</v>
      </c>
    </row>
    <row r="78" spans="1:13">
      <c r="A78" s="27">
        <v>2024</v>
      </c>
      <c r="B78" s="25">
        <f t="shared" si="13"/>
        <v>309.11196965990564</v>
      </c>
      <c r="C78" s="25">
        <f t="shared" si="14"/>
        <v>208.78331119230725</v>
      </c>
      <c r="D78" s="25">
        <f t="shared" si="15"/>
        <v>100.3286584675983</v>
      </c>
      <c r="E78" s="25">
        <v>164.19682785145693</v>
      </c>
      <c r="F78" s="25">
        <f t="shared" si="16"/>
        <v>144.91514180844871</v>
      </c>
      <c r="G78" s="26">
        <f>F78*(1.1)</f>
        <v>159.4066559892936</v>
      </c>
      <c r="H78" s="25">
        <v>15.723216823482799</v>
      </c>
      <c r="I78" s="25">
        <f t="shared" si="17"/>
        <v>175.1298728127764</v>
      </c>
    </row>
    <row r="79" spans="1:13">
      <c r="A79" s="27">
        <v>2025</v>
      </c>
      <c r="B79" s="25">
        <f t="shared" si="13"/>
        <v>318.54010241541567</v>
      </c>
      <c r="C79" s="25">
        <f t="shared" si="14"/>
        <v>215.15134921174004</v>
      </c>
      <c r="D79" s="25">
        <f t="shared" si="15"/>
        <v>103.38875320367553</v>
      </c>
      <c r="E79" s="25">
        <v>169.20494673058153</v>
      </c>
      <c r="F79" s="25">
        <f t="shared" si="16"/>
        <v>149.33515568483415</v>
      </c>
      <c r="G79" s="26">
        <f t="shared" ref="G79:G86" si="18">F79</f>
        <v>149.33515568483415</v>
      </c>
      <c r="H79" s="25">
        <v>16.134277360953305</v>
      </c>
      <c r="I79" s="25">
        <f t="shared" si="17"/>
        <v>165.46943304578747</v>
      </c>
    </row>
    <row r="80" spans="1:13">
      <c r="A80" s="27">
        <v>2026</v>
      </c>
      <c r="B80" s="25">
        <f t="shared" si="13"/>
        <v>331.92916489659683</v>
      </c>
      <c r="C80" s="25">
        <f t="shared" si="14"/>
        <v>224.19471560630993</v>
      </c>
      <c r="D80" s="25">
        <f t="shared" si="15"/>
        <v>107.73444929028683</v>
      </c>
      <c r="E80" s="25">
        <v>176.31706726649509</v>
      </c>
      <c r="F80" s="25">
        <f t="shared" si="16"/>
        <v>155.61209763010174</v>
      </c>
      <c r="G80" s="26">
        <f t="shared" si="18"/>
        <v>155.61209763010174</v>
      </c>
      <c r="H80" s="25">
        <v>16.741655574732288</v>
      </c>
      <c r="I80" s="25">
        <f t="shared" si="17"/>
        <v>172.35375320483402</v>
      </c>
    </row>
    <row r="81" spans="1:9">
      <c r="A81" s="27">
        <v>2027</v>
      </c>
      <c r="B81" s="25">
        <f t="shared" si="13"/>
        <v>335.72582277113821</v>
      </c>
      <c r="C81" s="25">
        <f t="shared" si="14"/>
        <v>226.75908994413717</v>
      </c>
      <c r="D81" s="25">
        <f t="shared" si="15"/>
        <v>108.96673282700097</v>
      </c>
      <c r="E81" s="25">
        <v>178.33380954963226</v>
      </c>
      <c r="F81" s="25">
        <f t="shared" si="16"/>
        <v>157.39201322150595</v>
      </c>
      <c r="G81" s="26">
        <f t="shared" si="18"/>
        <v>157.39201322150595</v>
      </c>
      <c r="H81" s="25">
        <v>16.862152861165974</v>
      </c>
      <c r="I81" s="25">
        <f t="shared" si="17"/>
        <v>174.25416608267193</v>
      </c>
    </row>
    <row r="82" spans="1:9">
      <c r="A82" s="27">
        <v>2028</v>
      </c>
      <c r="B82" s="25">
        <f t="shared" si="13"/>
        <v>343.09397633442796</v>
      </c>
      <c r="C82" s="25">
        <f t="shared" si="14"/>
        <v>231.735757460473</v>
      </c>
      <c r="D82" s="25">
        <f t="shared" si="15"/>
        <v>111.35821887395491</v>
      </c>
      <c r="E82" s="25">
        <v>182.24769047616408</v>
      </c>
      <c r="F82" s="25">
        <f t="shared" si="16"/>
        <v>160.84628585826388</v>
      </c>
      <c r="G82" s="26">
        <f t="shared" si="18"/>
        <v>160.84628585826388</v>
      </c>
      <c r="H82" s="25">
        <v>17.160276786578336</v>
      </c>
      <c r="I82" s="25">
        <f t="shared" si="17"/>
        <v>178.00656264484223</v>
      </c>
    </row>
    <row r="83" spans="1:9">
      <c r="A83" s="27">
        <v>2029</v>
      </c>
      <c r="B83" s="25">
        <f t="shared" si="13"/>
        <v>347.59449682665769</v>
      </c>
      <c r="C83" s="25">
        <f t="shared" si="14"/>
        <v>234.77554130155289</v>
      </c>
      <c r="D83" s="25">
        <f t="shared" si="15"/>
        <v>112.81895552510476</v>
      </c>
      <c r="E83" s="25">
        <v>184.63831672502025</v>
      </c>
      <c r="F83" s="25">
        <f t="shared" si="16"/>
        <v>162.95618010163744</v>
      </c>
      <c r="G83" s="26">
        <f t="shared" si="18"/>
        <v>162.95618010163744</v>
      </c>
      <c r="H83" s="25">
        <v>17.313089667290566</v>
      </c>
      <c r="I83" s="25">
        <f t="shared" si="17"/>
        <v>180.26926976892801</v>
      </c>
    </row>
    <row r="84" spans="1:9">
      <c r="A84" s="27">
        <v>2030</v>
      </c>
      <c r="B84" s="25">
        <f t="shared" si="13"/>
        <v>360.75297959217602</v>
      </c>
      <c r="C84" s="25">
        <f t="shared" si="14"/>
        <v>243.66316737787227</v>
      </c>
      <c r="D84" s="25">
        <f t="shared" si="15"/>
        <v>117.08981221430369</v>
      </c>
      <c r="E84" s="25">
        <v>191.62795588979705</v>
      </c>
      <c r="F84" s="25">
        <f t="shared" si="16"/>
        <v>169.12502370237897</v>
      </c>
      <c r="G84" s="26">
        <f t="shared" si="18"/>
        <v>169.12502370237897</v>
      </c>
      <c r="H84" s="25">
        <v>17.894089791043196</v>
      </c>
      <c r="I84" s="25">
        <f t="shared" si="17"/>
        <v>187.01911349342217</v>
      </c>
    </row>
    <row r="85" spans="1:9">
      <c r="A85" s="27">
        <v>2031</v>
      </c>
      <c r="B85" s="25">
        <f t="shared" si="13"/>
        <v>368.32022363019354</v>
      </c>
      <c r="C85" s="25">
        <f t="shared" si="14"/>
        <v>248.77430645345001</v>
      </c>
      <c r="D85" s="25">
        <f t="shared" si="15"/>
        <v>119.54591717674347</v>
      </c>
      <c r="E85" s="25">
        <v>195.64759145417645</v>
      </c>
      <c r="F85" s="25">
        <f t="shared" si="16"/>
        <v>172.67263217601709</v>
      </c>
      <c r="G85" s="26">
        <f t="shared" si="18"/>
        <v>172.67263217601709</v>
      </c>
      <c r="H85" s="25">
        <v>18.194104985394961</v>
      </c>
      <c r="I85" s="25">
        <f t="shared" si="17"/>
        <v>190.86673716141206</v>
      </c>
    </row>
    <row r="86" spans="1:9">
      <c r="A86" s="27">
        <v>2032</v>
      </c>
      <c r="B86" s="25">
        <f t="shared" si="13"/>
        <v>379.59710436009073</v>
      </c>
      <c r="C86" s="25">
        <f t="shared" si="14"/>
        <v>256.39104320194622</v>
      </c>
      <c r="D86" s="25">
        <f t="shared" si="15"/>
        <v>123.20606115814441</v>
      </c>
      <c r="E86" s="25">
        <v>201.6377446208285</v>
      </c>
      <c r="F86" s="25">
        <f t="shared" si="16"/>
        <v>177.95935973926223</v>
      </c>
      <c r="G86" s="26">
        <f t="shared" si="18"/>
        <v>177.95935973926223</v>
      </c>
      <c r="H86" s="25">
        <v>18.674150376434405</v>
      </c>
      <c r="I86" s="25">
        <f>G86+H86</f>
        <v>196.63351011569662</v>
      </c>
    </row>
  </sheetData>
  <phoneticPr fontId="10" type="noConversion"/>
  <conditionalFormatting sqref="A17:E30">
    <cfRule type="expression" dxfId="3" priority="6">
      <formula>ISODD(ROW())</formula>
    </cfRule>
  </conditionalFormatting>
  <conditionalFormatting sqref="G17:J30">
    <cfRule type="expression" dxfId="2" priority="5">
      <formula>ISODD(ROW())</formula>
    </cfRule>
  </conditionalFormatting>
  <conditionalFormatting sqref="A32:E32">
    <cfRule type="expression" dxfId="1" priority="4">
      <formula>ISODD(ROW())</formula>
    </cfRule>
  </conditionalFormatting>
  <conditionalFormatting sqref="G32:J32">
    <cfRule type="expression" dxfId="0" priority="3">
      <formula>ISODD(ROW())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372A-ACDC-2A45-A2F8-EF1E51E2F523}">
  <sheetPr codeName="Sheet4">
    <tabColor theme="4"/>
  </sheetPr>
  <dimension ref="A1:Y78"/>
  <sheetViews>
    <sheetView tabSelected="1" topLeftCell="F45" zoomScale="80" workbookViewId="0">
      <selection activeCell="M72" sqref="M72"/>
    </sheetView>
  </sheetViews>
  <sheetFormatPr baseColWidth="10" defaultRowHeight="15"/>
  <cols>
    <col min="1" max="8" width="11.5" customWidth="1"/>
    <col min="9" max="10" width="16.1640625" bestFit="1" customWidth="1"/>
    <col min="11" max="11" width="13.33203125" bestFit="1" customWidth="1"/>
    <col min="12" max="12" width="37.6640625" customWidth="1"/>
    <col min="13" max="13" width="23.33203125" bestFit="1" customWidth="1"/>
    <col min="14" max="15" width="19.6640625" bestFit="1" customWidth="1"/>
    <col min="16" max="17" width="18.83203125" bestFit="1" customWidth="1"/>
    <col min="18" max="18" width="19" bestFit="1" customWidth="1"/>
    <col min="19" max="19" width="19.6640625" bestFit="1" customWidth="1"/>
    <col min="20" max="21" width="18.6640625" bestFit="1" customWidth="1"/>
    <col min="22" max="22" width="18.33203125" bestFit="1" customWidth="1"/>
    <col min="23" max="23" width="18.83203125" bestFit="1" customWidth="1"/>
    <col min="24" max="24" width="15.83203125" bestFit="1" customWidth="1"/>
  </cols>
  <sheetData>
    <row r="1" spans="1:25" ht="68">
      <c r="A1" s="32" t="s">
        <v>80</v>
      </c>
      <c r="B1" s="32" t="s">
        <v>93</v>
      </c>
      <c r="C1" s="33" t="s">
        <v>55</v>
      </c>
      <c r="D1" s="33" t="s">
        <v>56</v>
      </c>
      <c r="E1" s="34" t="s">
        <v>57</v>
      </c>
      <c r="F1" s="34" t="s">
        <v>99</v>
      </c>
      <c r="G1" s="34" t="s">
        <v>100</v>
      </c>
      <c r="H1" s="34" t="s">
        <v>76</v>
      </c>
      <c r="I1" s="34" t="s">
        <v>101</v>
      </c>
      <c r="J1" s="34" t="s">
        <v>102</v>
      </c>
      <c r="L1" s="32" t="s">
        <v>131</v>
      </c>
      <c r="M1" s="32" t="s">
        <v>132</v>
      </c>
    </row>
    <row r="2" spans="1:25">
      <c r="A2" s="27">
        <v>2022</v>
      </c>
      <c r="B2" s="25">
        <v>333.35690023588415</v>
      </c>
      <c r="C2" s="25">
        <v>50.808734794409531</v>
      </c>
      <c r="D2" s="25">
        <v>130.98071080124694</v>
      </c>
      <c r="E2" s="25">
        <v>151.56745464022762</v>
      </c>
      <c r="F2" s="25">
        <v>171.28644873890082</v>
      </c>
      <c r="G2" s="25">
        <v>162.07045149698334</v>
      </c>
      <c r="H2" s="35">
        <v>0.85</v>
      </c>
      <c r="I2" s="25">
        <v>137.75988377243584</v>
      </c>
      <c r="J2" s="25">
        <v>117.09590120657046</v>
      </c>
      <c r="L2" s="71">
        <v>3.3096666666666663E-2</v>
      </c>
      <c r="M2" s="99">
        <v>2022</v>
      </c>
    </row>
    <row r="3" spans="1:25">
      <c r="A3" s="27">
        <v>2023</v>
      </c>
      <c r="B3" s="25">
        <v>341.99133923598367</v>
      </c>
      <c r="C3" s="25">
        <v>52.124756514506331</v>
      </c>
      <c r="D3" s="25">
        <v>134.37330581518782</v>
      </c>
      <c r="E3" s="25">
        <v>155.49327690628951</v>
      </c>
      <c r="F3" s="25">
        <v>175.72302224955322</v>
      </c>
      <c r="G3" s="25">
        <v>166.26831698643045</v>
      </c>
      <c r="H3" s="35">
        <v>0.9</v>
      </c>
      <c r="I3" s="25">
        <v>149.64148528778742</v>
      </c>
      <c r="J3" s="25">
        <v>134.67733675900868</v>
      </c>
      <c r="L3" s="71">
        <v>3.4906666666666676E-2</v>
      </c>
      <c r="M3" s="99">
        <v>2023</v>
      </c>
    </row>
    <row r="4" spans="1:25">
      <c r="A4" s="27">
        <v>2024</v>
      </c>
      <c r="B4" s="25">
        <v>350.59303275320741</v>
      </c>
      <c r="C4" s="25">
        <v>53.435787317799019</v>
      </c>
      <c r="D4" s="25">
        <v>137.75303465890821</v>
      </c>
      <c r="E4" s="25">
        <v>159.40421077650015</v>
      </c>
      <c r="F4" s="25">
        <v>180.14277037734996</v>
      </c>
      <c r="G4" s="25">
        <v>170.45026237585745</v>
      </c>
      <c r="H4" s="35">
        <v>0.95</v>
      </c>
      <c r="I4" s="25">
        <v>161.92774925706456</v>
      </c>
      <c r="J4" s="25">
        <v>153.83136179421132</v>
      </c>
      <c r="L4" s="71">
        <v>3.658666666666667E-2</v>
      </c>
      <c r="M4" s="99">
        <v>2024</v>
      </c>
    </row>
    <row r="5" spans="1:25">
      <c r="A5" s="27">
        <v>2025</v>
      </c>
      <c r="B5" s="25">
        <v>361.28636714459594</v>
      </c>
      <c r="C5" s="25">
        <v>55.065616461205224</v>
      </c>
      <c r="D5" s="25">
        <v>141.9545992235787</v>
      </c>
      <c r="E5" s="25">
        <v>164.26615145981197</v>
      </c>
      <c r="F5" s="25">
        <v>185.63725173286542</v>
      </c>
      <c r="G5" s="25">
        <v>175.64911541173052</v>
      </c>
      <c r="H5" s="35">
        <v>1</v>
      </c>
      <c r="I5" s="25">
        <v>175.64911541173052</v>
      </c>
      <c r="J5" s="25">
        <v>175.64911541173052</v>
      </c>
      <c r="L5" s="71">
        <v>3.8100833333333334E-2</v>
      </c>
      <c r="M5" s="99">
        <v>2025</v>
      </c>
    </row>
    <row r="6" spans="1:25">
      <c r="A6" s="27">
        <v>2026</v>
      </c>
      <c r="B6" s="25">
        <v>376.47216543692377</v>
      </c>
      <c r="C6" s="25">
        <v>57.380166415114438</v>
      </c>
      <c r="D6" s="25">
        <v>147.92131733562621</v>
      </c>
      <c r="E6" s="25">
        <v>171.17068168618309</v>
      </c>
      <c r="F6" s="25">
        <v>193.44006445075891</v>
      </c>
      <c r="G6" s="25">
        <v>183.03210098616486</v>
      </c>
      <c r="H6" s="35">
        <v>1</v>
      </c>
      <c r="I6" s="25">
        <v>183.03210098616486</v>
      </c>
      <c r="J6" s="25">
        <v>183.03210098616486</v>
      </c>
      <c r="L6" s="71">
        <v>3.9445000000000001E-2</v>
      </c>
      <c r="M6" s="99">
        <v>2026</v>
      </c>
      <c r="Y6" s="37"/>
    </row>
    <row r="7" spans="1:25">
      <c r="A7" s="27">
        <v>2027</v>
      </c>
      <c r="B7" s="25">
        <v>380.77831314135045</v>
      </c>
      <c r="C7" s="25">
        <v>58.036489762688625</v>
      </c>
      <c r="D7" s="25">
        <v>149.61326457518194</v>
      </c>
      <c r="E7" s="25">
        <v>173.12855880347982</v>
      </c>
      <c r="F7" s="25">
        <v>195.65266226263711</v>
      </c>
      <c r="G7" s="25">
        <v>185.12565087871334</v>
      </c>
      <c r="H7" s="35">
        <v>1</v>
      </c>
      <c r="I7" s="25">
        <v>185.12565087871334</v>
      </c>
      <c r="J7" s="25">
        <v>185.12565087871334</v>
      </c>
      <c r="L7" s="71">
        <v>4.059666666666667E-2</v>
      </c>
      <c r="M7" s="99">
        <v>2027</v>
      </c>
      <c r="Y7" s="37"/>
    </row>
    <row r="8" spans="1:25">
      <c r="A8" s="27">
        <v>2028</v>
      </c>
      <c r="B8" s="25">
        <v>389.13523088344647</v>
      </c>
      <c r="C8" s="25">
        <v>59.310212961327686</v>
      </c>
      <c r="D8" s="25">
        <v>152.89681750356814</v>
      </c>
      <c r="E8" s="25">
        <v>176.92820041855055</v>
      </c>
      <c r="F8" s="25">
        <v>199.94663896278598</v>
      </c>
      <c r="G8" s="25">
        <v>189.18859192066049</v>
      </c>
      <c r="H8" s="35">
        <v>1</v>
      </c>
      <c r="I8" s="25">
        <v>189.18859192066049</v>
      </c>
      <c r="J8" s="25">
        <v>189.18859192066049</v>
      </c>
      <c r="L8" s="71">
        <v>4.1595E-2</v>
      </c>
      <c r="M8" s="99">
        <v>2028</v>
      </c>
    </row>
    <row r="9" spans="1:25">
      <c r="A9" s="27">
        <v>2029</v>
      </c>
      <c r="B9" s="25">
        <v>394.23969555388538</v>
      </c>
      <c r="C9" s="25">
        <v>60.088212131359107</v>
      </c>
      <c r="D9" s="25">
        <v>154.90243493737813</v>
      </c>
      <c r="E9" s="25">
        <v>179.24904848514808</v>
      </c>
      <c r="F9" s="25">
        <v>202.56943040791279</v>
      </c>
      <c r="G9" s="25">
        <v>191.67026514597259</v>
      </c>
      <c r="H9" s="35">
        <v>1</v>
      </c>
      <c r="I9" s="25">
        <v>191.67026514597259</v>
      </c>
      <c r="J9" s="25">
        <v>191.67026514597259</v>
      </c>
      <c r="L9" s="71">
        <v>4.2484999999999995E-2</v>
      </c>
      <c r="M9" s="99">
        <v>2029</v>
      </c>
    </row>
    <row r="10" spans="1:25">
      <c r="A10" s="27">
        <v>2030</v>
      </c>
      <c r="B10" s="25">
        <v>409.16397164798019</v>
      </c>
      <c r="C10" s="25">
        <v>62.362902067361169</v>
      </c>
      <c r="D10" s="25">
        <v>160.76639722409058</v>
      </c>
      <c r="E10" s="25">
        <v>186.03467235652835</v>
      </c>
      <c r="F10" s="25">
        <v>210.23786700048822</v>
      </c>
      <c r="G10" s="25">
        <v>198.92610464749197</v>
      </c>
      <c r="H10" s="35">
        <v>1</v>
      </c>
      <c r="I10" s="25">
        <v>198.92610464749197</v>
      </c>
      <c r="J10" s="25">
        <v>198.92610464749197</v>
      </c>
      <c r="L10" s="71">
        <v>4.3250833333333343E-2</v>
      </c>
      <c r="M10" s="99">
        <v>2030</v>
      </c>
    </row>
    <row r="11" spans="1:25">
      <c r="A11" s="27">
        <v>2031</v>
      </c>
      <c r="B11" s="25">
        <v>417.74669667086147</v>
      </c>
      <c r="C11" s="25">
        <v>63.671041779460566</v>
      </c>
      <c r="D11" s="25">
        <v>164.1386730741275</v>
      </c>
      <c r="E11" s="25">
        <v>189.93698181727331</v>
      </c>
      <c r="F11" s="25">
        <v>214.64786867926429</v>
      </c>
      <c r="G11" s="25">
        <v>203.09882799159718</v>
      </c>
      <c r="H11" s="35">
        <v>1</v>
      </c>
      <c r="I11" s="25">
        <v>203.09882799159718</v>
      </c>
      <c r="J11" s="25">
        <v>203.09882799159718</v>
      </c>
      <c r="L11" s="71">
        <v>4.3919166666666669E-2</v>
      </c>
      <c r="M11" s="99">
        <v>2031</v>
      </c>
    </row>
    <row r="12" spans="1:25">
      <c r="A12" s="27">
        <v>2032</v>
      </c>
      <c r="B12" s="25">
        <v>430.53687046918031</v>
      </c>
      <c r="C12" s="25">
        <v>65.620461599579329</v>
      </c>
      <c r="D12" s="25">
        <v>169.16411593788661</v>
      </c>
      <c r="E12" s="25">
        <v>195.75229293171424</v>
      </c>
      <c r="F12" s="25">
        <v>221.21975438829617</v>
      </c>
      <c r="G12" s="25">
        <v>209.31711608088415</v>
      </c>
      <c r="H12" s="35">
        <v>1</v>
      </c>
      <c r="I12" s="25">
        <v>209.31711608088415</v>
      </c>
      <c r="J12" s="25">
        <v>209.31711608088415</v>
      </c>
      <c r="L12" s="71">
        <v>4.4519166666666665E-2</v>
      </c>
      <c r="M12" s="99">
        <v>2032</v>
      </c>
    </row>
    <row r="13" spans="1:25">
      <c r="A13" s="23"/>
      <c r="B13" s="23"/>
      <c r="C13" s="23"/>
      <c r="D13" s="23"/>
      <c r="E13" s="23"/>
      <c r="F13" s="23"/>
      <c r="G13" s="23"/>
      <c r="H13" s="23"/>
    </row>
    <row r="14" spans="1:25" ht="61" customHeight="1">
      <c r="A14" s="32" t="s">
        <v>80</v>
      </c>
      <c r="B14" s="32" t="s">
        <v>59</v>
      </c>
      <c r="C14" s="33" t="s">
        <v>60</v>
      </c>
      <c r="D14" s="34" t="s">
        <v>61</v>
      </c>
      <c r="E14" s="34" t="s">
        <v>94</v>
      </c>
      <c r="F14" s="34" t="s">
        <v>98</v>
      </c>
      <c r="G14" s="34" t="s">
        <v>77</v>
      </c>
      <c r="H14" s="34" t="s">
        <v>97</v>
      </c>
      <c r="I14" s="34" t="s">
        <v>96</v>
      </c>
      <c r="J14" s="34" t="s">
        <v>95</v>
      </c>
      <c r="M14" s="73">
        <v>44562</v>
      </c>
      <c r="N14" s="73">
        <v>44926</v>
      </c>
      <c r="O14" s="73">
        <v>45291</v>
      </c>
      <c r="P14" s="73">
        <v>45657</v>
      </c>
      <c r="Q14" s="73">
        <v>46022</v>
      </c>
      <c r="R14" s="73">
        <v>46387</v>
      </c>
      <c r="S14" s="73">
        <v>46752</v>
      </c>
      <c r="T14" s="73">
        <v>47118</v>
      </c>
      <c r="U14" s="73">
        <v>47483</v>
      </c>
      <c r="V14" s="73">
        <v>47848</v>
      </c>
      <c r="W14" s="73">
        <v>48213</v>
      </c>
    </row>
    <row r="15" spans="1:25" ht="17">
      <c r="A15" s="27">
        <v>2022</v>
      </c>
      <c r="B15" s="25">
        <v>293.91516203966006</v>
      </c>
      <c r="C15" s="25">
        <v>198.51894058900061</v>
      </c>
      <c r="D15" s="25">
        <v>95.396221450659411</v>
      </c>
      <c r="E15" s="25">
        <v>156.12445327644926</v>
      </c>
      <c r="F15" s="25">
        <v>137.7907087632108</v>
      </c>
      <c r="G15" s="36">
        <v>1.1000000000000001</v>
      </c>
      <c r="H15" s="26">
        <v>151.5697796395319</v>
      </c>
      <c r="I15" s="25">
        <v>15.078268922064694</v>
      </c>
      <c r="J15" s="25">
        <v>166.6480485615966</v>
      </c>
      <c r="L15" s="32" t="s">
        <v>81</v>
      </c>
      <c r="M15" s="32">
        <v>0</v>
      </c>
      <c r="N15" s="32">
        <v>1</v>
      </c>
      <c r="O15" s="32">
        <v>2</v>
      </c>
      <c r="P15" s="32">
        <v>3</v>
      </c>
      <c r="Q15" s="32">
        <v>4</v>
      </c>
      <c r="R15" s="32">
        <v>5</v>
      </c>
      <c r="S15" s="32">
        <v>6</v>
      </c>
      <c r="T15" s="32">
        <v>7</v>
      </c>
      <c r="U15" s="32">
        <v>8</v>
      </c>
      <c r="V15" s="32">
        <v>9</v>
      </c>
      <c r="W15" s="32">
        <v>10</v>
      </c>
    </row>
    <row r="16" spans="1:25" ht="17">
      <c r="A16" s="27">
        <v>2023</v>
      </c>
      <c r="B16" s="25">
        <v>301.52800142003611</v>
      </c>
      <c r="C16" s="25">
        <v>203.66087609916167</v>
      </c>
      <c r="D16" s="25">
        <v>97.867125320874365</v>
      </c>
      <c r="E16" s="25">
        <v>160.16830857773598</v>
      </c>
      <c r="F16" s="25">
        <v>141.35969284230012</v>
      </c>
      <c r="G16" s="36">
        <v>1.1000000000000001</v>
      </c>
      <c r="H16" s="26">
        <v>155.49566212653014</v>
      </c>
      <c r="I16" s="25">
        <v>15.402855393681952</v>
      </c>
      <c r="J16" s="25">
        <v>170.8985175202121</v>
      </c>
      <c r="L16" s="32" t="s">
        <v>120</v>
      </c>
      <c r="M16" s="37">
        <v>0</v>
      </c>
      <c r="N16" s="37">
        <v>117.09590120657046</v>
      </c>
      <c r="O16" s="37">
        <v>134.67733675900868</v>
      </c>
      <c r="P16" s="37">
        <v>153.83136179421132</v>
      </c>
      <c r="Q16" s="37">
        <v>175.64911541173052</v>
      </c>
      <c r="R16" s="37">
        <v>183.03210098616486</v>
      </c>
      <c r="S16" s="37">
        <v>185.12565087871334</v>
      </c>
      <c r="T16" s="37">
        <v>189.18859192066049</v>
      </c>
      <c r="U16" s="37">
        <v>191.67026514597259</v>
      </c>
      <c r="V16" s="37">
        <v>198.92610464749197</v>
      </c>
      <c r="W16" s="37">
        <v>203.09882799159718</v>
      </c>
    </row>
    <row r="17" spans="1:23" ht="17">
      <c r="A17" s="27">
        <v>2024</v>
      </c>
      <c r="B17" s="25">
        <v>309.11196965990564</v>
      </c>
      <c r="C17" s="25">
        <v>208.78331119230725</v>
      </c>
      <c r="D17" s="25">
        <v>100.3286584675983</v>
      </c>
      <c r="E17" s="25">
        <v>164.19682785145693</v>
      </c>
      <c r="F17" s="25">
        <v>144.91514180844871</v>
      </c>
      <c r="G17" s="36">
        <v>1.1000000000000001</v>
      </c>
      <c r="H17" s="26">
        <v>159.4066559892936</v>
      </c>
      <c r="I17" s="25">
        <v>15.723216823482799</v>
      </c>
      <c r="J17" s="25">
        <v>175.1298728127764</v>
      </c>
      <c r="L17" s="32" t="s">
        <v>121</v>
      </c>
      <c r="M17" s="37">
        <v>0</v>
      </c>
      <c r="N17" s="37">
        <v>166.6480485615966</v>
      </c>
      <c r="O17" s="37">
        <v>170.8985175202121</v>
      </c>
      <c r="P17" s="37">
        <v>175.1298728127764</v>
      </c>
      <c r="Q17" s="37">
        <v>165.46943304578747</v>
      </c>
      <c r="R17" s="37">
        <v>172.35375320483402</v>
      </c>
      <c r="S17" s="37">
        <v>174.25416608267193</v>
      </c>
      <c r="T17" s="37">
        <v>178.00656264484223</v>
      </c>
      <c r="U17" s="37">
        <v>180.26926976892801</v>
      </c>
      <c r="V17" s="37">
        <v>187.01911349342217</v>
      </c>
      <c r="W17" s="37">
        <v>190.86673716141206</v>
      </c>
    </row>
    <row r="18" spans="1:23" ht="17">
      <c r="A18" s="27">
        <v>2025</v>
      </c>
      <c r="B18" s="25">
        <v>318.54010241541567</v>
      </c>
      <c r="C18" s="25">
        <v>215.15134921174004</v>
      </c>
      <c r="D18" s="25">
        <v>103.38875320367553</v>
      </c>
      <c r="E18" s="25">
        <v>169.20494673058153</v>
      </c>
      <c r="F18" s="25">
        <v>149.33515568483415</v>
      </c>
      <c r="G18" s="35">
        <v>1</v>
      </c>
      <c r="H18" s="26">
        <v>149.33515568483415</v>
      </c>
      <c r="I18" s="25">
        <v>16.134277360953305</v>
      </c>
      <c r="J18" s="25">
        <v>165.46943304578747</v>
      </c>
      <c r="L18" s="32" t="s">
        <v>103</v>
      </c>
      <c r="M18" s="37">
        <f t="shared" ref="M18:W18" si="0">M16-M17</f>
        <v>0</v>
      </c>
      <c r="N18" s="37">
        <f t="shared" si="0"/>
        <v>-49.552147355026136</v>
      </c>
      <c r="O18" s="37">
        <f t="shared" si="0"/>
        <v>-36.221180761203414</v>
      </c>
      <c r="P18" s="37">
        <f t="shared" si="0"/>
        <v>-21.29851101856508</v>
      </c>
      <c r="Q18" s="37">
        <f t="shared" si="0"/>
        <v>10.179682365943052</v>
      </c>
      <c r="R18" s="37">
        <f t="shared" si="0"/>
        <v>10.678347781330842</v>
      </c>
      <c r="S18" s="37">
        <f t="shared" si="0"/>
        <v>10.871484796041415</v>
      </c>
      <c r="T18" s="37">
        <f t="shared" si="0"/>
        <v>11.182029275818252</v>
      </c>
      <c r="U18" s="37">
        <f t="shared" si="0"/>
        <v>11.40099537704458</v>
      </c>
      <c r="V18" s="37">
        <f t="shared" si="0"/>
        <v>11.9069911540698</v>
      </c>
      <c r="W18" s="37">
        <f t="shared" si="0"/>
        <v>12.232090830185115</v>
      </c>
    </row>
    <row r="19" spans="1:23" ht="17">
      <c r="A19" s="27">
        <v>2026</v>
      </c>
      <c r="B19" s="25">
        <v>331.92916489659683</v>
      </c>
      <c r="C19" s="25">
        <v>224.19471560630993</v>
      </c>
      <c r="D19" s="25">
        <v>107.73444929028683</v>
      </c>
      <c r="E19" s="25">
        <v>176.31706726649509</v>
      </c>
      <c r="F19" s="25">
        <v>155.61209763010174</v>
      </c>
      <c r="G19" s="35">
        <v>1</v>
      </c>
      <c r="H19" s="26">
        <v>155.61209763010174</v>
      </c>
      <c r="I19" s="25">
        <v>16.741655574732288</v>
      </c>
      <c r="J19" s="25">
        <v>172.35375320483402</v>
      </c>
      <c r="L19" s="32" t="s">
        <v>104</v>
      </c>
      <c r="M19" s="38">
        <f>M18*Sheet2!K2</f>
        <v>0</v>
      </c>
      <c r="N19" s="38">
        <f>N18*Sheet2!K3</f>
        <v>-646957097.35189378</v>
      </c>
      <c r="O19" s="38">
        <f>O18*Sheet2!K4</f>
        <v>-474932085.91971838</v>
      </c>
      <c r="P19" s="38">
        <f>P18*Sheet2!K5</f>
        <v>-280456918.82349533</v>
      </c>
      <c r="Q19" s="38">
        <f>Q18*Sheet2!K6</f>
        <v>134614338.16281688</v>
      </c>
      <c r="R19" s="38">
        <f>R18*Sheet2!K7</f>
        <v>141805660.80895486</v>
      </c>
      <c r="S19" s="38">
        <f>S18*Sheet2!K8</f>
        <v>144978327.09181449</v>
      </c>
      <c r="T19" s="38">
        <f>T18*Sheet2!K9</f>
        <v>149744860.69699377</v>
      </c>
      <c r="U19" s="38">
        <f>U18*Sheet2!K10</f>
        <v>153314623.10991332</v>
      </c>
      <c r="V19" s="38">
        <f>V18*Sheet2!K11</f>
        <v>160784745.27995461</v>
      </c>
      <c r="W19" s="38">
        <f>W18*Sheet2!K12</f>
        <v>165858625.89000151</v>
      </c>
    </row>
    <row r="20" spans="1:23" ht="17">
      <c r="A20" s="27">
        <v>2027</v>
      </c>
      <c r="B20" s="25">
        <v>335.72582277113821</v>
      </c>
      <c r="C20" s="25">
        <v>226.75908994413717</v>
      </c>
      <c r="D20" s="25">
        <v>108.96673282700097</v>
      </c>
      <c r="E20" s="25">
        <v>178.33380954963226</v>
      </c>
      <c r="F20" s="25">
        <v>157.39201322150595</v>
      </c>
      <c r="G20" s="35">
        <v>1</v>
      </c>
      <c r="H20" s="26">
        <v>157.39201322150595</v>
      </c>
      <c r="I20" s="25">
        <v>16.862152861165974</v>
      </c>
      <c r="J20" s="25">
        <v>174.25416608267193</v>
      </c>
      <c r="L20" s="41" t="s">
        <v>105</v>
      </c>
      <c r="M20" t="e">
        <f>M19/(1+#REF!)^0</f>
        <v>#REF!</v>
      </c>
      <c r="N20" t="e">
        <f>N19/(1+#REF!)</f>
        <v>#REF!</v>
      </c>
      <c r="O20" t="e">
        <f>O19/(1+#REF!)^2</f>
        <v>#REF!</v>
      </c>
    </row>
    <row r="21" spans="1:23">
      <c r="A21" s="27">
        <v>2028</v>
      </c>
      <c r="B21" s="25">
        <v>343.09397633442796</v>
      </c>
      <c r="C21" s="25">
        <v>231.735757460473</v>
      </c>
      <c r="D21" s="25">
        <v>111.35821887395491</v>
      </c>
      <c r="E21" s="25">
        <v>182.24769047616408</v>
      </c>
      <c r="F21" s="25">
        <v>160.84628585826388</v>
      </c>
      <c r="G21" s="35">
        <v>1</v>
      </c>
      <c r="H21" s="26">
        <v>160.84628585826388</v>
      </c>
      <c r="I21" s="25">
        <v>17.160276786578336</v>
      </c>
      <c r="J21" s="25">
        <v>178.00656264484223</v>
      </c>
      <c r="L21" s="90">
        <v>995000000</v>
      </c>
      <c r="M21" s="31" t="e">
        <f>SUM(M20:O20)</f>
        <v>#REF!</v>
      </c>
      <c r="N21" t="s">
        <v>110</v>
      </c>
      <c r="Q21" s="24"/>
    </row>
    <row r="22" spans="1:23">
      <c r="A22" s="27">
        <v>2029</v>
      </c>
      <c r="B22" s="25">
        <v>347.59449682665769</v>
      </c>
      <c r="C22" s="25">
        <v>234.77554130155289</v>
      </c>
      <c r="D22" s="25">
        <v>112.81895552510476</v>
      </c>
      <c r="E22" s="25">
        <v>184.63831672502025</v>
      </c>
      <c r="F22" s="25">
        <v>162.95618010163744</v>
      </c>
      <c r="G22" s="35">
        <v>1</v>
      </c>
      <c r="H22" s="26">
        <v>162.95618010163744</v>
      </c>
      <c r="I22" s="25">
        <v>17.313089667290566</v>
      </c>
      <c r="J22" s="25">
        <v>180.26926976892801</v>
      </c>
    </row>
    <row r="23" spans="1:23">
      <c r="A23" s="27">
        <v>2030</v>
      </c>
      <c r="B23" s="25">
        <v>360.75297959217602</v>
      </c>
      <c r="C23" s="25">
        <v>243.66316737787227</v>
      </c>
      <c r="D23" s="25">
        <v>117.08981221430369</v>
      </c>
      <c r="E23" s="25">
        <v>191.62795588979705</v>
      </c>
      <c r="F23" s="25">
        <v>169.12502370237897</v>
      </c>
      <c r="G23" s="35">
        <v>1</v>
      </c>
      <c r="H23" s="26">
        <v>169.12502370237897</v>
      </c>
      <c r="I23" s="25">
        <v>17.894089791043196</v>
      </c>
      <c r="J23" s="25">
        <v>187.01911349342217</v>
      </c>
    </row>
    <row r="24" spans="1:23">
      <c r="A24" s="27">
        <v>2031</v>
      </c>
      <c r="B24" s="25">
        <v>368.32022363019354</v>
      </c>
      <c r="C24" s="25">
        <v>248.77430645345001</v>
      </c>
      <c r="D24" s="25">
        <v>119.54591717674347</v>
      </c>
      <c r="E24" s="25">
        <v>195.64759145417645</v>
      </c>
      <c r="F24" s="25">
        <v>172.67263217601709</v>
      </c>
      <c r="G24" s="35">
        <v>1</v>
      </c>
      <c r="H24" s="26">
        <v>172.67263217601709</v>
      </c>
      <c r="I24" s="25">
        <v>18.194104985394961</v>
      </c>
      <c r="J24" s="25">
        <v>190.86673716141206</v>
      </c>
    </row>
    <row r="25" spans="1:23">
      <c r="A25" s="27">
        <v>2032</v>
      </c>
      <c r="B25" s="25">
        <v>379.59710436009073</v>
      </c>
      <c r="C25" s="25">
        <v>256.39104320194622</v>
      </c>
      <c r="D25" s="25">
        <v>123.20606115814441</v>
      </c>
      <c r="E25" s="25">
        <v>201.6377446208285</v>
      </c>
      <c r="F25" s="25">
        <v>177.95935973926223</v>
      </c>
      <c r="G25" s="35">
        <v>1</v>
      </c>
      <c r="H25" s="26">
        <v>177.95935973926223</v>
      </c>
      <c r="I25" s="25">
        <v>18.674150376434405</v>
      </c>
      <c r="J25" s="25">
        <v>196.63351011569662</v>
      </c>
    </row>
    <row r="27" spans="1:23" ht="17">
      <c r="L27" s="32" t="s">
        <v>81</v>
      </c>
      <c r="M27" s="32">
        <v>0</v>
      </c>
      <c r="N27" s="32">
        <v>1</v>
      </c>
      <c r="O27" s="32">
        <v>2</v>
      </c>
      <c r="P27" s="32">
        <v>3</v>
      </c>
      <c r="Q27" s="32">
        <v>4</v>
      </c>
      <c r="R27" s="32">
        <v>5</v>
      </c>
      <c r="S27" s="32">
        <v>6</v>
      </c>
      <c r="T27" s="32">
        <v>7</v>
      </c>
      <c r="U27" s="32">
        <v>8</v>
      </c>
      <c r="V27" s="32">
        <v>9</v>
      </c>
      <c r="W27" s="32">
        <v>10</v>
      </c>
    </row>
    <row r="28" spans="1:23" ht="57" customHeight="1">
      <c r="L28" s="32" t="s">
        <v>124</v>
      </c>
      <c r="M28" s="37">
        <v>0</v>
      </c>
      <c r="N28" s="37">
        <v>117.09590120657046</v>
      </c>
      <c r="O28" s="37">
        <v>134.67733675900868</v>
      </c>
      <c r="P28" s="37">
        <v>153.83136179421132</v>
      </c>
      <c r="Q28" s="37">
        <v>175.64911541173052</v>
      </c>
      <c r="R28" s="37">
        <v>183.03210098616486</v>
      </c>
      <c r="S28" s="37">
        <v>185.12565087871334</v>
      </c>
      <c r="T28" s="37">
        <v>189.18859192066049</v>
      </c>
      <c r="U28" s="37">
        <v>191.67026514597259</v>
      </c>
      <c r="V28" s="37">
        <v>198.92610464749197</v>
      </c>
      <c r="W28" s="37">
        <v>203.09882799159718</v>
      </c>
    </row>
    <row r="29" spans="1:23" ht="69" customHeight="1">
      <c r="L29" s="32" t="s">
        <v>123</v>
      </c>
      <c r="M29" s="37">
        <v>0</v>
      </c>
      <c r="N29" s="37">
        <v>166.6480485615966</v>
      </c>
      <c r="O29" s="37">
        <v>170.8985175202121</v>
      </c>
      <c r="P29" s="37">
        <v>175.1298728127764</v>
      </c>
      <c r="Q29" s="37">
        <v>165.46943304578747</v>
      </c>
      <c r="R29" s="37">
        <v>172.35375320483402</v>
      </c>
      <c r="S29" s="37">
        <v>174.25416608267193</v>
      </c>
      <c r="T29" s="37">
        <v>178.00656264484223</v>
      </c>
      <c r="U29" s="37">
        <v>180.26926976892801</v>
      </c>
      <c r="V29" s="37">
        <v>187.01911349342217</v>
      </c>
      <c r="W29" s="37">
        <v>190.86673716141206</v>
      </c>
    </row>
    <row r="30" spans="1:23" ht="73" customHeight="1">
      <c r="L30" s="32" t="s">
        <v>122</v>
      </c>
      <c r="M30" s="37">
        <f t="shared" ref="M30:W30" si="1">M28-M29</f>
        <v>0</v>
      </c>
      <c r="N30" s="37">
        <f t="shared" si="1"/>
        <v>-49.552147355026136</v>
      </c>
      <c r="O30" s="37">
        <f t="shared" si="1"/>
        <v>-36.221180761203414</v>
      </c>
      <c r="P30" s="37">
        <f t="shared" si="1"/>
        <v>-21.29851101856508</v>
      </c>
      <c r="Q30" s="37">
        <f t="shared" si="1"/>
        <v>10.179682365943052</v>
      </c>
      <c r="R30" s="37">
        <f t="shared" si="1"/>
        <v>10.678347781330842</v>
      </c>
      <c r="S30" s="37">
        <f t="shared" si="1"/>
        <v>10.871484796041415</v>
      </c>
      <c r="T30" s="37">
        <f t="shared" si="1"/>
        <v>11.182029275818252</v>
      </c>
      <c r="U30" s="37">
        <f t="shared" si="1"/>
        <v>11.40099537704458</v>
      </c>
      <c r="V30" s="37">
        <f t="shared" si="1"/>
        <v>11.9069911540698</v>
      </c>
      <c r="W30" s="37">
        <f t="shared" si="1"/>
        <v>12.232090830185115</v>
      </c>
    </row>
    <row r="31" spans="1:23" ht="58" customHeight="1">
      <c r="L31" s="32" t="s">
        <v>104</v>
      </c>
      <c r="M31" s="38">
        <f>M19</f>
        <v>0</v>
      </c>
      <c r="N31" s="38">
        <f>N19</f>
        <v>-646957097.35189378</v>
      </c>
      <c r="O31" s="38">
        <f>O19</f>
        <v>-474932085.91971838</v>
      </c>
      <c r="P31" s="38">
        <f>P19</f>
        <v>-280456918.82349533</v>
      </c>
      <c r="Q31" s="38">
        <f>Q19</f>
        <v>134614338.16281688</v>
      </c>
      <c r="R31" s="38">
        <f>R19</f>
        <v>141805660.80895486</v>
      </c>
      <c r="S31" s="38">
        <f>S19</f>
        <v>144978327.09181449</v>
      </c>
      <c r="T31" s="38">
        <f>T19</f>
        <v>149744860.69699377</v>
      </c>
      <c r="U31" s="38">
        <f>U19</f>
        <v>153314623.10991332</v>
      </c>
      <c r="V31" s="38">
        <f>V19</f>
        <v>160784745.27995461</v>
      </c>
      <c r="W31" s="38">
        <f>W19</f>
        <v>165858625.89000151</v>
      </c>
    </row>
    <row r="32" spans="1:23" ht="17">
      <c r="L32" s="41" t="s">
        <v>105</v>
      </c>
      <c r="M32">
        <f>M31/(1+$L$45)^M27</f>
        <v>0</v>
      </c>
      <c r="N32">
        <f>N31/(1+$L$45)^N27</f>
        <v>-619394061.61023819</v>
      </c>
      <c r="O32">
        <f>O31/(1+$L$45)^O27</f>
        <v>-435326016.13981414</v>
      </c>
      <c r="P32">
        <f>P31/(1+$L$45)^P27</f>
        <v>-246116553.89355275</v>
      </c>
    </row>
    <row r="33" spans="11:23">
      <c r="K33" s="90" t="s">
        <v>109</v>
      </c>
      <c r="L33" s="90">
        <v>995000000</v>
      </c>
      <c r="M33" s="31">
        <f>SUM(M32:P32)</f>
        <v>-1300836631.643605</v>
      </c>
      <c r="N33" t="s">
        <v>110</v>
      </c>
      <c r="Q33" s="24"/>
    </row>
    <row r="35" spans="11:23">
      <c r="M35" s="39">
        <f>L33+M33</f>
        <v>-305836631.64360499</v>
      </c>
      <c r="N35" t="s">
        <v>111</v>
      </c>
    </row>
    <row r="39" spans="11:23">
      <c r="W39" s="39"/>
    </row>
    <row r="41" spans="11:23" ht="16" thickBot="1"/>
    <row r="42" spans="11:23">
      <c r="L42" s="100" t="s">
        <v>107</v>
      </c>
    </row>
    <row r="43" spans="11:23">
      <c r="L43" s="88">
        <v>2.8000000000000001E-2</v>
      </c>
      <c r="Q43" s="39"/>
      <c r="R43" s="39"/>
      <c r="S43" s="43"/>
    </row>
    <row r="44" spans="11:23">
      <c r="L44" s="101" t="s">
        <v>108</v>
      </c>
    </row>
    <row r="45" spans="11:23" ht="16" thickBot="1">
      <c r="L45" s="89">
        <v>4.4499999999999998E-2</v>
      </c>
    </row>
    <row r="46" spans="11:23" ht="16">
      <c r="L46" s="53" t="s">
        <v>127</v>
      </c>
      <c r="M46" s="75"/>
      <c r="N46" s="54"/>
      <c r="O46" s="54"/>
      <c r="P46" s="54"/>
      <c r="Q46" s="54"/>
      <c r="R46" s="54"/>
      <c r="S46" s="54"/>
      <c r="T46" s="54"/>
      <c r="U46" s="54"/>
      <c r="V46" s="54"/>
      <c r="W46" s="55"/>
    </row>
    <row r="47" spans="11:23" ht="16">
      <c r="L47" s="56" t="s">
        <v>125</v>
      </c>
      <c r="M47" s="83" t="s">
        <v>126</v>
      </c>
      <c r="N47" s="83"/>
      <c r="O47" s="83"/>
      <c r="P47" s="83"/>
      <c r="Q47" s="83"/>
      <c r="R47" s="83"/>
      <c r="S47" s="83"/>
      <c r="T47" s="83"/>
      <c r="U47" s="83"/>
      <c r="V47" s="83"/>
      <c r="W47" s="84"/>
    </row>
    <row r="48" spans="11:23" ht="16">
      <c r="L48" s="57"/>
      <c r="M48" s="58">
        <v>0</v>
      </c>
      <c r="N48" s="58">
        <v>1</v>
      </c>
      <c r="O48" s="58">
        <v>2</v>
      </c>
      <c r="P48" s="58">
        <v>3</v>
      </c>
      <c r="Q48" s="58">
        <v>4</v>
      </c>
      <c r="R48" s="58">
        <v>5</v>
      </c>
      <c r="S48" s="58">
        <v>6</v>
      </c>
      <c r="T48" s="58">
        <v>7</v>
      </c>
      <c r="U48" s="58">
        <v>8</v>
      </c>
      <c r="V48" s="58">
        <v>9</v>
      </c>
      <c r="W48" s="59">
        <v>10</v>
      </c>
    </row>
    <row r="49" spans="8:24" ht="16">
      <c r="L49" s="60" t="s">
        <v>128</v>
      </c>
      <c r="M49" s="61">
        <f>M31</f>
        <v>0</v>
      </c>
      <c r="N49" s="61">
        <f t="shared" ref="N49:W49" si="2">N31</f>
        <v>-646957097.35189378</v>
      </c>
      <c r="O49" s="61">
        <f t="shared" si="2"/>
        <v>-474932085.91971838</v>
      </c>
      <c r="P49" s="61">
        <f t="shared" si="2"/>
        <v>-280456918.82349533</v>
      </c>
      <c r="Q49" s="61">
        <f t="shared" si="2"/>
        <v>134614338.16281688</v>
      </c>
      <c r="R49" s="61">
        <f t="shared" si="2"/>
        <v>141805660.80895486</v>
      </c>
      <c r="S49" s="61">
        <f t="shared" si="2"/>
        <v>144978327.09181449</v>
      </c>
      <c r="T49" s="61">
        <f t="shared" si="2"/>
        <v>149744860.69699377</v>
      </c>
      <c r="U49" s="61">
        <f t="shared" si="2"/>
        <v>153314623.10991332</v>
      </c>
      <c r="V49" s="61">
        <f t="shared" si="2"/>
        <v>160784745.27995461</v>
      </c>
      <c r="W49" s="62">
        <f t="shared" si="2"/>
        <v>165858625.89000151</v>
      </c>
    </row>
    <row r="50" spans="8:24" ht="17" thickBot="1">
      <c r="L50" s="60" t="s">
        <v>112</v>
      </c>
      <c r="M50" s="61">
        <f>-(M42+M43)</f>
        <v>0</v>
      </c>
      <c r="N50" s="61">
        <f t="shared" ref="N50:V50" si="3">-(N42+N43)</f>
        <v>0</v>
      </c>
      <c r="O50" s="61">
        <f t="shared" si="3"/>
        <v>0</v>
      </c>
      <c r="P50" s="61">
        <f t="shared" si="3"/>
        <v>0</v>
      </c>
      <c r="Q50" s="61">
        <f t="shared" si="3"/>
        <v>0</v>
      </c>
      <c r="R50" s="61">
        <f>-(R42+R43)</f>
        <v>0</v>
      </c>
      <c r="S50" s="61">
        <f>M35*(1+L43)^S48</f>
        <v>-360950950.55617172</v>
      </c>
      <c r="T50" s="61">
        <f t="shared" si="3"/>
        <v>0</v>
      </c>
      <c r="U50" s="61">
        <f t="shared" si="3"/>
        <v>0</v>
      </c>
      <c r="V50" s="61">
        <f t="shared" si="3"/>
        <v>0</v>
      </c>
      <c r="W50" s="62">
        <f>-(W42+W43)</f>
        <v>0</v>
      </c>
    </row>
    <row r="51" spans="8:24" ht="16">
      <c r="H51" s="94" t="s">
        <v>108</v>
      </c>
      <c r="I51" s="91">
        <v>1.47E-2</v>
      </c>
      <c r="J51" s="92">
        <v>7.6300000000000007E-2</v>
      </c>
      <c r="L51" s="60" t="s">
        <v>115</v>
      </c>
      <c r="M51" s="63">
        <f>-M35</f>
        <v>305836631.64360499</v>
      </c>
      <c r="N51" s="63"/>
      <c r="O51" s="63"/>
      <c r="P51" s="63"/>
      <c r="Q51" s="63"/>
      <c r="R51" s="63"/>
      <c r="S51" s="63"/>
      <c r="T51" s="63"/>
      <c r="U51" s="63"/>
      <c r="V51" s="63"/>
      <c r="W51" s="64"/>
    </row>
    <row r="52" spans="8:24" ht="17" thickBot="1">
      <c r="H52" s="93" t="s">
        <v>114</v>
      </c>
      <c r="I52" s="45">
        <v>544987349.48243284</v>
      </c>
      <c r="J52" s="46">
        <v>445898923.51206326</v>
      </c>
      <c r="L52" s="60" t="s">
        <v>116</v>
      </c>
      <c r="M52" s="65">
        <f>L33</f>
        <v>995000000</v>
      </c>
      <c r="N52" s="65"/>
      <c r="O52" s="65"/>
      <c r="P52" s="65"/>
      <c r="Q52" s="65"/>
      <c r="R52" s="65"/>
      <c r="S52" s="65"/>
      <c r="T52" s="65"/>
      <c r="U52" s="65"/>
      <c r="V52" s="65"/>
      <c r="W52" s="66"/>
    </row>
    <row r="53" spans="8:24" ht="17" thickBot="1">
      <c r="L53" s="60" t="s">
        <v>117</v>
      </c>
      <c r="M53" s="61">
        <f>SUM(M49:M52)</f>
        <v>1300836631.643605</v>
      </c>
      <c r="N53" s="61">
        <f t="shared" ref="N53:W53" si="4">SUM(N49:N52)</f>
        <v>-646957097.35189378</v>
      </c>
      <c r="O53" s="61">
        <f t="shared" si="4"/>
        <v>-474932085.91971838</v>
      </c>
      <c r="P53" s="61">
        <f t="shared" si="4"/>
        <v>-280456918.82349533</v>
      </c>
      <c r="Q53" s="61">
        <f t="shared" si="4"/>
        <v>134614338.16281688</v>
      </c>
      <c r="R53" s="61">
        <f t="shared" si="4"/>
        <v>141805660.80895486</v>
      </c>
      <c r="S53" s="61">
        <f t="shared" si="4"/>
        <v>-215972623.46435723</v>
      </c>
      <c r="T53" s="61">
        <f t="shared" si="4"/>
        <v>149744860.69699377</v>
      </c>
      <c r="U53" s="61">
        <f t="shared" si="4"/>
        <v>153314623.10991332</v>
      </c>
      <c r="V53" s="61">
        <f t="shared" si="4"/>
        <v>160784745.27995461</v>
      </c>
      <c r="W53" s="62">
        <f t="shared" si="4"/>
        <v>165858625.89000151</v>
      </c>
    </row>
    <row r="54" spans="8:24" ht="16">
      <c r="H54" s="94" t="s">
        <v>107</v>
      </c>
      <c r="I54" s="95">
        <v>0</v>
      </c>
      <c r="J54" s="92">
        <v>5.648970850463058E-2</v>
      </c>
      <c r="L54" s="60" t="s">
        <v>105</v>
      </c>
      <c r="M54" s="61">
        <f>M53/(1+$L$45)^M48</f>
        <v>1300836631.643605</v>
      </c>
      <c r="N54" s="61">
        <f>N53/(1+$L$45)^N48</f>
        <v>-619394061.61023819</v>
      </c>
      <c r="O54" s="61">
        <f>O53/(1+$L$45)^O48</f>
        <v>-435326016.13981414</v>
      </c>
      <c r="P54" s="61">
        <f>P53/(1+$L$45)^P48</f>
        <v>-246116553.89355275</v>
      </c>
      <c r="Q54" s="61">
        <f>Q53/(1+$L$45)^Q48</f>
        <v>113098681.78173338</v>
      </c>
      <c r="R54" s="61">
        <f>R53/(1+$L$45)^R48</f>
        <v>114064722.01966919</v>
      </c>
      <c r="S54" s="61">
        <f>S53/(1+$L$45)^S48</f>
        <v>-166321363.96170709</v>
      </c>
      <c r="T54" s="61">
        <f>T53/(1+$L$45)^T48</f>
        <v>110406035.64946561</v>
      </c>
      <c r="U54" s="61">
        <f>U53/(1+$L$45)^U48</f>
        <v>108222117.00334713</v>
      </c>
      <c r="V54" s="61">
        <f>V53/(1+$L$45)^V48</f>
        <v>108659785.43245485</v>
      </c>
      <c r="W54" s="74">
        <f>W53/(1+$L$45)^W48</f>
        <v>107313317.23372796</v>
      </c>
    </row>
    <row r="55" spans="8:24" ht="17" thickBot="1">
      <c r="H55" s="93" t="s">
        <v>114</v>
      </c>
      <c r="I55" s="45">
        <v>537887048.20626831</v>
      </c>
      <c r="J55" s="46">
        <v>445898590.75441229</v>
      </c>
      <c r="L55" s="67" t="s">
        <v>106</v>
      </c>
      <c r="M55" s="68">
        <f>SUM(M54:W54)</f>
        <v>495443295.15869093</v>
      </c>
      <c r="N55" s="69"/>
      <c r="O55" s="69"/>
      <c r="P55" s="69"/>
      <c r="Q55" s="69"/>
      <c r="R55" s="69"/>
      <c r="S55" s="69"/>
      <c r="T55" s="69"/>
      <c r="U55" s="69"/>
      <c r="V55" s="69"/>
      <c r="W55" s="70"/>
    </row>
    <row r="56" spans="8:24" ht="16" thickBot="1"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</row>
    <row r="57" spans="8:24" ht="16" thickBot="1">
      <c r="H57" s="94" t="s">
        <v>129</v>
      </c>
      <c r="I57" s="96">
        <v>445898965.64282185</v>
      </c>
      <c r="J57" s="43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</row>
    <row r="58" spans="8:24" ht="17" thickBot="1">
      <c r="H58" s="98" t="s">
        <v>130</v>
      </c>
      <c r="I58" s="97">
        <v>544987624.67456007</v>
      </c>
      <c r="K58" s="77" t="s">
        <v>113</v>
      </c>
      <c r="L58" s="78"/>
      <c r="M58" s="81" t="s">
        <v>107</v>
      </c>
      <c r="N58" s="81"/>
      <c r="O58" s="81"/>
      <c r="P58" s="81"/>
      <c r="Q58" s="81"/>
      <c r="R58" s="81"/>
      <c r="S58" s="81"/>
      <c r="T58" s="81"/>
      <c r="U58" s="82"/>
      <c r="V58" s="42"/>
      <c r="W58" s="42"/>
    </row>
    <row r="59" spans="8:24" ht="16" thickBot="1">
      <c r="K59" s="79"/>
      <c r="L59" s="80"/>
      <c r="M59" s="48">
        <v>0.01</v>
      </c>
      <c r="N59" s="48">
        <v>1.4999999999999999E-2</v>
      </c>
      <c r="O59" s="48">
        <v>0.02</v>
      </c>
      <c r="P59" s="48">
        <v>2.5000000000000001E-2</v>
      </c>
      <c r="Q59" s="48">
        <v>0.03</v>
      </c>
      <c r="R59" s="48">
        <v>3.5000000000000003E-2</v>
      </c>
      <c r="S59" s="48">
        <v>0.04</v>
      </c>
      <c r="T59" s="48">
        <v>5.5E-2</v>
      </c>
      <c r="U59" s="50">
        <v>0.06</v>
      </c>
      <c r="V59" s="40"/>
      <c r="W59" s="40"/>
      <c r="X59" s="40"/>
    </row>
    <row r="60" spans="8:24" ht="15" customHeight="1">
      <c r="K60" s="85" t="s">
        <v>108</v>
      </c>
      <c r="L60" s="48">
        <v>1.4999999999999999E-2</v>
      </c>
      <c r="M60" s="42">
        <v>584860735.14105785</v>
      </c>
      <c r="N60" s="42">
        <v>574011852.26268804</v>
      </c>
      <c r="O60" s="42">
        <v>562892439.18534184</v>
      </c>
      <c r="P60" s="42">
        <v>551497125.81166911</v>
      </c>
      <c r="Q60" s="42">
        <v>539820462.48956692</v>
      </c>
      <c r="R60" s="42">
        <v>527856919.23032808</v>
      </c>
      <c r="S60" s="42">
        <v>515600884.92296267</v>
      </c>
      <c r="T60" s="42">
        <v>477020491.16171157</v>
      </c>
      <c r="U60" s="44">
        <v>463536731.39350104</v>
      </c>
      <c r="V60" s="42">
        <f>M60-U60</f>
        <v>121324003.74755681</v>
      </c>
      <c r="W60" s="42"/>
    </row>
    <row r="61" spans="8:24" ht="15" customHeight="1">
      <c r="K61" s="86"/>
      <c r="L61" s="48">
        <v>2.5000000000000001E-2</v>
      </c>
      <c r="M61" s="42">
        <v>563283241.29273963</v>
      </c>
      <c r="N61" s="42">
        <v>553685690.609231</v>
      </c>
      <c r="O61" s="42">
        <v>543848813.22958195</v>
      </c>
      <c r="P61" s="42">
        <v>533767858.45438206</v>
      </c>
      <c r="Q61" s="42">
        <v>523438005.20547479</v>
      </c>
      <c r="R61" s="42">
        <v>512854361.33428711</v>
      </c>
      <c r="S61" s="42">
        <v>502011962.92677152</v>
      </c>
      <c r="T61" s="42">
        <v>467881510.17282259</v>
      </c>
      <c r="U61" s="44">
        <v>455952994.65371126</v>
      </c>
      <c r="V61" s="42">
        <f t="shared" ref="V61:V65" si="5">M61-U61</f>
        <v>107330246.63902837</v>
      </c>
      <c r="W61" s="42"/>
    </row>
    <row r="62" spans="8:24" ht="15" customHeight="1">
      <c r="K62" s="86"/>
      <c r="L62" s="48">
        <v>3.5000000000000003E-2</v>
      </c>
      <c r="M62" s="42">
        <v>542472346.76462173</v>
      </c>
      <c r="N62" s="42">
        <v>533996181.35677564</v>
      </c>
      <c r="O62" s="42">
        <v>525308652.36983585</v>
      </c>
      <c r="P62" s="42">
        <v>516405564.17980051</v>
      </c>
      <c r="Q62" s="42">
        <v>507282659.00702941</v>
      </c>
      <c r="R62" s="42">
        <v>497935616.30538785</v>
      </c>
      <c r="S62" s="42">
        <v>488360052.14840102</v>
      </c>
      <c r="T62" s="42">
        <v>458217428.00115466</v>
      </c>
      <c r="U62" s="44">
        <v>447682649.49940836</v>
      </c>
      <c r="V62" s="42">
        <f t="shared" si="5"/>
        <v>94789697.26521337</v>
      </c>
    </row>
    <row r="63" spans="8:24" ht="15" customHeight="1">
      <c r="K63" s="86"/>
      <c r="L63" s="48">
        <v>4.4999999999999998E-2</v>
      </c>
      <c r="M63" s="42">
        <v>522411997.40158194</v>
      </c>
      <c r="N63" s="42">
        <v>514940963.89079857</v>
      </c>
      <c r="O63" s="42">
        <v>507283630.99740684</v>
      </c>
      <c r="P63" s="42">
        <v>499436300.62845933</v>
      </c>
      <c r="Q63" s="42">
        <v>491395219.90599245</v>
      </c>
      <c r="R63" s="42">
        <v>483156580.62860817</v>
      </c>
      <c r="S63" s="42">
        <v>474716518.73041981</v>
      </c>
      <c r="T63" s="42">
        <v>448148307.24901485</v>
      </c>
      <c r="U63" s="44">
        <v>438862777.83469135</v>
      </c>
      <c r="V63" s="42">
        <f t="shared" si="5"/>
        <v>83549219.566890597</v>
      </c>
    </row>
    <row r="64" spans="8:24" ht="15" customHeight="1">
      <c r="K64" s="86"/>
      <c r="L64" s="48">
        <v>5.5E-2</v>
      </c>
      <c r="M64" s="42">
        <v>503084744.34884763</v>
      </c>
      <c r="N64" s="42">
        <v>496514771.97139174</v>
      </c>
      <c r="O64" s="42">
        <v>489780969.27569294</v>
      </c>
      <c r="P64" s="42">
        <v>482880084.18578655</v>
      </c>
      <c r="Q64" s="42">
        <v>475808816.44816381</v>
      </c>
      <c r="R64" s="42">
        <v>468563817.15829146</v>
      </c>
      <c r="S64" s="42">
        <v>461141688.28481221</v>
      </c>
      <c r="T64" s="42">
        <v>437777796.89022851</v>
      </c>
      <c r="U64" s="44">
        <v>429612170.04969734</v>
      </c>
      <c r="V64" s="42">
        <f t="shared" si="5"/>
        <v>73472574.299150288</v>
      </c>
    </row>
    <row r="65" spans="2:22" ht="15" customHeight="1">
      <c r="K65" s="86"/>
      <c r="L65" s="48">
        <v>6.5000000000000002E-2</v>
      </c>
      <c r="M65" s="42">
        <v>484472047.75715828</v>
      </c>
      <c r="N65" s="47">
        <v>478709913.63128197</v>
      </c>
      <c r="O65" s="42">
        <v>472804093.62464929</v>
      </c>
      <c r="P65" s="42">
        <v>466751735.53380775</v>
      </c>
      <c r="Q65" s="42">
        <v>460549944.90163136</v>
      </c>
      <c r="R65" s="42">
        <v>454195784.60205805</v>
      </c>
      <c r="S65" s="42">
        <v>447686274.42279506</v>
      </c>
      <c r="T65" s="42">
        <v>427195187.37044287</v>
      </c>
      <c r="U65" s="44">
        <v>420033599.10586405</v>
      </c>
      <c r="V65" s="42">
        <f t="shared" si="5"/>
        <v>64438448.651294231</v>
      </c>
    </row>
    <row r="66" spans="2:22" ht="16" customHeight="1" thickBot="1">
      <c r="K66" s="87"/>
      <c r="L66" s="49">
        <v>7.4999999999999997E-2</v>
      </c>
      <c r="M66" s="45">
        <v>466554541.38813132</v>
      </c>
      <c r="N66" s="45">
        <v>461516690.21979994</v>
      </c>
      <c r="O66" s="45">
        <v>456353214.05447477</v>
      </c>
      <c r="P66" s="45">
        <v>451061619.20211285</v>
      </c>
      <c r="Q66" s="45">
        <v>445639375.03015774</v>
      </c>
      <c r="R66" s="45">
        <v>440083913.60047406</v>
      </c>
      <c r="S66" s="45">
        <v>434392629.30450529</v>
      </c>
      <c r="T66" s="45">
        <v>416477210.36562854</v>
      </c>
      <c r="U66" s="46">
        <v>410215812.24166006</v>
      </c>
      <c r="V66" s="42">
        <f>M66-U66</f>
        <v>56338729.146471262</v>
      </c>
    </row>
    <row r="67" spans="2:22" ht="16" customHeight="1">
      <c r="K67" s="76"/>
      <c r="M67" s="51">
        <f>M60-M66</f>
        <v>118306193.75292653</v>
      </c>
      <c r="N67" s="51">
        <f t="shared" ref="N67:U67" si="6">N60-N66</f>
        <v>112495162.0428881</v>
      </c>
      <c r="O67" s="51">
        <f t="shared" si="6"/>
        <v>106539225.13086706</v>
      </c>
      <c r="P67" s="51">
        <f t="shared" si="6"/>
        <v>100435506.60955626</v>
      </c>
      <c r="Q67" s="51">
        <f t="shared" si="6"/>
        <v>94181087.459409177</v>
      </c>
      <c r="R67" s="51">
        <f t="shared" si="6"/>
        <v>87773005.629854023</v>
      </c>
      <c r="S67" s="51">
        <f t="shared" si="6"/>
        <v>81208255.618457377</v>
      </c>
      <c r="T67" s="51">
        <f t="shared" si="6"/>
        <v>60543280.796083033</v>
      </c>
      <c r="U67" s="51">
        <f t="shared" si="6"/>
        <v>53320919.151840985</v>
      </c>
      <c r="V67" s="42"/>
    </row>
    <row r="68" spans="2:22">
      <c r="M68" s="52"/>
    </row>
    <row r="72" spans="2:22">
      <c r="L72" s="23"/>
      <c r="M72" s="23"/>
    </row>
    <row r="73" spans="2:22">
      <c r="B73" t="s">
        <v>119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2:22">
      <c r="B74" t="s">
        <v>118</v>
      </c>
      <c r="C74" s="23"/>
      <c r="D74" s="23"/>
      <c r="E74" s="23"/>
      <c r="F74" s="23"/>
      <c r="G74" s="23"/>
      <c r="H74" s="23"/>
      <c r="I74" s="23"/>
      <c r="J74" s="23"/>
      <c r="K74" s="23"/>
      <c r="L74" s="72"/>
      <c r="M74" s="72"/>
    </row>
    <row r="75" spans="2:22">
      <c r="C75" s="23"/>
      <c r="D75" s="72"/>
      <c r="E75" s="72"/>
      <c r="F75" s="72"/>
      <c r="G75" s="72"/>
      <c r="H75" s="72"/>
      <c r="I75" s="72"/>
      <c r="J75" s="72"/>
      <c r="K75" s="72"/>
      <c r="L75" s="23"/>
      <c r="M75" s="23"/>
      <c r="N75" s="23"/>
    </row>
    <row r="76" spans="2:22"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2:22"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2:22">
      <c r="C78" s="23"/>
      <c r="D78" s="23"/>
      <c r="E78" s="23"/>
      <c r="F78" s="23"/>
      <c r="G78" s="23"/>
      <c r="H78" s="23"/>
      <c r="I78" s="23"/>
      <c r="J78" s="23"/>
      <c r="K78" s="23"/>
    </row>
  </sheetData>
  <mergeCells count="4">
    <mergeCell ref="K58:L59"/>
    <mergeCell ref="M58:U58"/>
    <mergeCell ref="M47:W47"/>
    <mergeCell ref="K60:K66"/>
  </mergeCells>
  <phoneticPr fontId="10" type="noConversion"/>
  <conditionalFormatting sqref="M60:U6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Dictionary</vt:lpstr>
      <vt:lpstr>Revenue</vt:lpstr>
      <vt:lpstr>Expense</vt:lpstr>
      <vt:lpstr>Sheet2</vt:lpstr>
      <vt:lpstr>Expense-revenue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2022-04-08T14:33:49Z</dcterms:modified>
</cp:coreProperties>
</file>